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20115" windowHeight="5385" tabRatio="771" activeTab="0"/>
  </bookViews>
  <sheets>
    <sheet name="Introduction" sheetId="1" r:id="rId1"/>
    <sheet name="WJP Rule of Law Index 2012-2013" sheetId="2" r:id="rId2"/>
    <sheet name="DV-IDENTITY-0" sheetId="3" state="veryHidden" r:id="rId3"/>
  </sheets>
  <definedNames/>
  <calcPr fullCalcOnLoad="1"/>
</workbook>
</file>

<file path=xl/sharedStrings.xml><?xml version="1.0" encoding="utf-8"?>
<sst xmlns="http://schemas.openxmlformats.org/spreadsheetml/2006/main" count="351" uniqueCount="168">
  <si>
    <t>Argentina</t>
  </si>
  <si>
    <t>Austria</t>
  </si>
  <si>
    <t>Belgium</t>
  </si>
  <si>
    <t>Brazil</t>
  </si>
  <si>
    <t>Cambodia</t>
  </si>
  <si>
    <t>Cameroon</t>
  </si>
  <si>
    <t>Canada</t>
  </si>
  <si>
    <t>Chile</t>
  </si>
  <si>
    <t>China</t>
  </si>
  <si>
    <t>Czech Republic</t>
  </si>
  <si>
    <t>Dominican Republic</t>
  </si>
  <si>
    <t>Estonia</t>
  </si>
  <si>
    <t>Ethiopia</t>
  </si>
  <si>
    <t>France</t>
  </si>
  <si>
    <t>Germany</t>
  </si>
  <si>
    <t>Ghana</t>
  </si>
  <si>
    <t>Guatemala</t>
  </si>
  <si>
    <t>Iran</t>
  </si>
  <si>
    <t>Italy</t>
  </si>
  <si>
    <t>Jamaica</t>
  </si>
  <si>
    <t>Japan</t>
  </si>
  <si>
    <t>Jordan</t>
  </si>
  <si>
    <t>Kazakhstan</t>
  </si>
  <si>
    <t>Kyrgyzstan</t>
  </si>
  <si>
    <t>Lebanon</t>
  </si>
  <si>
    <t>Liberia</t>
  </si>
  <si>
    <t>Malaysia</t>
  </si>
  <si>
    <t>Mexico</t>
  </si>
  <si>
    <t>New Zealand</t>
  </si>
  <si>
    <t>Nigeria</t>
  </si>
  <si>
    <t>Norway</t>
  </si>
  <si>
    <t>Pakistan</t>
  </si>
  <si>
    <t>Peru</t>
  </si>
  <si>
    <t>Philippines</t>
  </si>
  <si>
    <t>Poland</t>
  </si>
  <si>
    <t>Romania</t>
  </si>
  <si>
    <t>Russia</t>
  </si>
  <si>
    <t>Senegal</t>
  </si>
  <si>
    <t>Singapore</t>
  </si>
  <si>
    <t>South Africa</t>
  </si>
  <si>
    <t>Spain</t>
  </si>
  <si>
    <t>Sweden</t>
  </si>
  <si>
    <t>Uganda</t>
  </si>
  <si>
    <t>Ukraine</t>
  </si>
  <si>
    <t>United Kingdom</t>
  </si>
  <si>
    <t>United States</t>
  </si>
  <si>
    <t>Venezuela</t>
  </si>
  <si>
    <t>Vietnam</t>
  </si>
  <si>
    <t>Country</t>
  </si>
  <si>
    <t>Region</t>
  </si>
  <si>
    <t>United Arab Emirates</t>
  </si>
  <si>
    <t>Hong Kong SAR, China</t>
  </si>
  <si>
    <t>The World Justice Project</t>
  </si>
  <si>
    <t>www.worldjusticeproject.org</t>
  </si>
  <si>
    <t>Income Group</t>
  </si>
  <si>
    <t>Factor 1: Limited Government Powers</t>
  </si>
  <si>
    <t>Factor 3: Order and Security</t>
  </si>
  <si>
    <t>Factor 4: Fundamental Rights</t>
  </si>
  <si>
    <t xml:space="preserve">Factor 5: Open Government </t>
  </si>
  <si>
    <t>Factor 2: Absence of Corruption</t>
  </si>
  <si>
    <t>Eastern Europe &amp; Central Asia</t>
  </si>
  <si>
    <t>Latin America &amp; Caribbean</t>
  </si>
  <si>
    <t>East Asia &amp; Pacific</t>
  </si>
  <si>
    <t>Western Europe &amp; North America</t>
  </si>
  <si>
    <t>South Asia</t>
  </si>
  <si>
    <t>Sub-Saharan Africa</t>
  </si>
  <si>
    <t>Middle East &amp; North Africa</t>
  </si>
  <si>
    <t>Albania</t>
  </si>
  <si>
    <t>Lower middle income</t>
  </si>
  <si>
    <t>Upper middle income</t>
  </si>
  <si>
    <t>Australia</t>
  </si>
  <si>
    <t>High income</t>
  </si>
  <si>
    <t>Bangladesh</t>
  </si>
  <si>
    <t>Low income</t>
  </si>
  <si>
    <t>Belarus</t>
  </si>
  <si>
    <t>Bolivia</t>
  </si>
  <si>
    <t>Bosnia and Herzegovina</t>
  </si>
  <si>
    <t>Botswana</t>
  </si>
  <si>
    <t>Bulgaria</t>
  </si>
  <si>
    <t>Burkina Faso</t>
  </si>
  <si>
    <t>Colombia</t>
  </si>
  <si>
    <t>Cote d'Ivoire</t>
  </si>
  <si>
    <t>Croatia</t>
  </si>
  <si>
    <t>Denmark</t>
  </si>
  <si>
    <t>Ecuador</t>
  </si>
  <si>
    <t>Egypt</t>
  </si>
  <si>
    <t>El Salvador</t>
  </si>
  <si>
    <t>Finland</t>
  </si>
  <si>
    <t>Georgia</t>
  </si>
  <si>
    <t>Greece</t>
  </si>
  <si>
    <t>Hungary</t>
  </si>
  <si>
    <t>India</t>
  </si>
  <si>
    <t>Indonesia</t>
  </si>
  <si>
    <t>Kenya</t>
  </si>
  <si>
    <t>Macedonia</t>
  </si>
  <si>
    <t>Madagascar</t>
  </si>
  <si>
    <t>Malawi</t>
  </si>
  <si>
    <t>Moldova</t>
  </si>
  <si>
    <t>Mongolia</t>
  </si>
  <si>
    <t>Morocco</t>
  </si>
  <si>
    <t>Nepal</t>
  </si>
  <si>
    <t>Netherlands</t>
  </si>
  <si>
    <t>Nicaragua</t>
  </si>
  <si>
    <t>Panama</t>
  </si>
  <si>
    <t>Portugal</t>
  </si>
  <si>
    <t>Republic of Korea</t>
  </si>
  <si>
    <t>Serbia</t>
  </si>
  <si>
    <t>Sierra Leone</t>
  </si>
  <si>
    <t>Slovenia</t>
  </si>
  <si>
    <t>Sri Lanka</t>
  </si>
  <si>
    <t>Tanzania</t>
  </si>
  <si>
    <t>Thailand</t>
  </si>
  <si>
    <t>Tunisia</t>
  </si>
  <si>
    <t>Turkey</t>
  </si>
  <si>
    <t>Uruguay</t>
  </si>
  <si>
    <t>Uzbekistan</t>
  </si>
  <si>
    <t>Zambia</t>
  </si>
  <si>
    <t>Zimbabwe</t>
  </si>
  <si>
    <t>AAAAAAR/i8Y=</t>
  </si>
  <si>
    <t>AAAAAAR/i8c=</t>
  </si>
  <si>
    <t>1.2 Government powers are effectively limited by the legislature</t>
  </si>
  <si>
    <t>1.3 Government powers are effectively limited by the judiciary</t>
  </si>
  <si>
    <t>1.4 Government powers are effectively limited by independent auditing and review</t>
  </si>
  <si>
    <t>1.5 Government officials are sanctioned for misconduct</t>
  </si>
  <si>
    <t>1.6 Government powers are subject to non-governmental checks</t>
  </si>
  <si>
    <t>1.7 Transition of power is subject to the law</t>
  </si>
  <si>
    <t>2.1 Government officials in the executive branch do not use public office for private gain</t>
  </si>
  <si>
    <t>2.2 Government officials in the judicial branch do not use public office for private gain</t>
  </si>
  <si>
    <t>2.3 Government officials in the police and the military do not use public office for private gain</t>
  </si>
  <si>
    <t>2.4 Government officials in the legislative branch do not use public office for private gain</t>
  </si>
  <si>
    <t>3.1 Crime is effectively controlled</t>
  </si>
  <si>
    <t>3.2 Civil conflict is effectively limited</t>
  </si>
  <si>
    <t>3.3 People do not resort to violence to redress personal grievances</t>
  </si>
  <si>
    <t>4.1 Equal treatment and absence of discrimination</t>
  </si>
  <si>
    <t>4.2 The right to life and security of the person is effectively guaranteed</t>
  </si>
  <si>
    <t>4.3 Due process of law and rights of the accused</t>
  </si>
  <si>
    <t>4.4 Freedom of opinion and expression is effectively guaranteed</t>
  </si>
  <si>
    <t>4.5 Freedom of belief and religion is effectively guaranteed</t>
  </si>
  <si>
    <t>4.6 Freedom from arbitrary interference with privacy is effectively guaranteed</t>
  </si>
  <si>
    <t>4.7 Freedom of assembly and association is effectively guaranteed</t>
  </si>
  <si>
    <t>4.8 Fundamental labor rights are effectively guaranteed</t>
  </si>
  <si>
    <t>5.1 The laws are publicized and accessible</t>
  </si>
  <si>
    <t>5.2 The laws are stable</t>
  </si>
  <si>
    <t>5.3 Right to petition the government and public participation</t>
  </si>
  <si>
    <t>5.4 Official information is available on request</t>
  </si>
  <si>
    <t>6.1 Government regulations are effectively enforced</t>
  </si>
  <si>
    <t>6.2 Government regulations are applied and enforced without improper influence</t>
  </si>
  <si>
    <t>6.3 Administrative proceedings are conducted without unreasonable delay</t>
  </si>
  <si>
    <t>6.4 Due process is respected in administrative proceedings</t>
  </si>
  <si>
    <t>6.5 The Government does not expropriate without adequate compensation</t>
  </si>
  <si>
    <t>7.1 People can access and afford civil justice</t>
  </si>
  <si>
    <t>7.2 Civil justice is free of discrimination</t>
  </si>
  <si>
    <t>7.3 Civil justice is free of corruption</t>
  </si>
  <si>
    <t>7.4 Civil justice is free of improper government influence</t>
  </si>
  <si>
    <t>7.5 Civil justice is not subject to unreasonable delays</t>
  </si>
  <si>
    <t>7.6 Civil justice is effectively enforced</t>
  </si>
  <si>
    <t>7.7 ADRs are accessible, impartial, and effective</t>
  </si>
  <si>
    <t>8.1 Criminal investigation system is effective</t>
  </si>
  <si>
    <t>8.2 Criminal adjudication system is timely and effective</t>
  </si>
  <si>
    <t>8.3 Correctional system is effective in reducing criminal behavior</t>
  </si>
  <si>
    <t>8.4 Criminal system is impartial</t>
  </si>
  <si>
    <t>8.5 Criminal system is free of corruption</t>
  </si>
  <si>
    <t>8.6 Criminal system is free of improper government influence</t>
  </si>
  <si>
    <t>8.7 Due process of law and rights of the accused</t>
  </si>
  <si>
    <t>Factor 8: Criminal Justice</t>
  </si>
  <si>
    <t>Factor 7: Civil Justice</t>
  </si>
  <si>
    <t>Factor 6: Regulatory Enforcement</t>
  </si>
  <si>
    <t>Rule of Law Index 2012-2013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</si>
</sst>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u val="single"/>
      <sz val="18"/>
      <color indexed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u val="single"/>
      <sz val="1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3" fillId="0" borderId="0" xfId="52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34" fillId="0" borderId="0" xfId="52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2" fontId="0" fillId="7" borderId="0" xfId="0" applyNumberFormat="1" applyFill="1" applyAlignment="1">
      <alignment horizontal="left" vertical="center"/>
    </xf>
    <xf numFmtId="0" fontId="4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justiceproject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161925</xdr:rowOff>
    </xdr:from>
    <xdr:to>
      <xdr:col>13</xdr:col>
      <xdr:colOff>323850</xdr:colOff>
      <xdr:row>29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5250" y="1047750"/>
          <a:ext cx="8153400" cy="492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WJP Rule of Law Index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an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innovative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quantitative assessment tool designed by The World Justice Project to offer a detailed and comprehensive picture of the extent to which countries adhere to the rule of law in practice.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Limited Government Powers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Absence of Corruption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Order and Security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Fundamental Rights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Open Government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Regulatory Enforcement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Civil Justice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Criminal Justice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Informal Justice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following dataset presents the factor and sub-factor scores for the 96 countries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 one jurisdiction 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ncluded in the 2012 -2013 administration of the Index, where 1 signifies the highest score and 0 signifies the lowest score.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detailed description of the process by which data is collected and the rule of law is measured is provided in: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Botero, J and Ponce, A. (2012-2013) “Measuring the Rule of Law 2012 -2013Update”. WJP Working Paper No. 2, available online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at: www.worldjusticeproject.org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WJP Rule of Law Index 2012-2013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include scores for "Factor 9: Informal Justice" or the following  or sub-factor 1.1 "Government powers are defined in the fundamental law".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World Justice Project | 740 15th Street, N.W. | Washington, DC 20005-1019 | +1 202 407 9330 | WJP@wjpnet.org| © 2008-2013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 Justice Project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justiceproject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H3"/>
  <sheetViews>
    <sheetView tabSelected="1" zoomScale="85" zoomScaleNormal="85" zoomScalePageLayoutView="0" workbookViewId="0" topLeftCell="A10">
      <selection activeCell="Q22" sqref="Q22"/>
    </sheetView>
  </sheetViews>
  <sheetFormatPr defaultColWidth="9.140625" defaultRowHeight="15"/>
  <cols>
    <col min="1" max="1" width="9.140625" style="0" customWidth="1"/>
  </cols>
  <sheetData>
    <row r="1" ht="23.25">
      <c r="H1" s="2" t="s">
        <v>52</v>
      </c>
    </row>
    <row r="2" ht="23.25">
      <c r="H2" s="2" t="s">
        <v>167</v>
      </c>
    </row>
    <row r="3" ht="23.25">
      <c r="H3" s="3" t="s">
        <v>53</v>
      </c>
    </row>
  </sheetData>
  <sheetProtection/>
  <hyperlinks>
    <hyperlink ref="H3" r:id="rId1" display="www.worldjusticeproject.org"/>
  </hyperlinks>
  <printOptions/>
  <pageMargins left="0.7" right="0.7" top="0.75" bottom="0.75" header="0.3" footer="0.3"/>
  <pageSetup horizontalDpi="600" verticalDpi="600" orientation="portrait" r:id="rId3"/>
  <customProperties>
    <customPr name="DVSECTIONID" r:id="rId4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8"/>
  <sheetViews>
    <sheetView zoomScale="85" zoomScaleNormal="85" zoomScalePageLayoutView="0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" sqref="I1"/>
    </sheetView>
  </sheetViews>
  <sheetFormatPr defaultColWidth="9.140625" defaultRowHeight="15"/>
  <cols>
    <col min="1" max="1" width="20.00390625" style="1" bestFit="1" customWidth="1"/>
    <col min="2" max="2" width="31.8515625" style="1" bestFit="1" customWidth="1"/>
    <col min="3" max="3" width="21.28125" style="1" bestFit="1" customWidth="1"/>
    <col min="4" max="4" width="20.7109375" style="11" customWidth="1"/>
    <col min="5" max="10" width="20.7109375" style="9" customWidth="1"/>
    <col min="11" max="11" width="20.7109375" style="11" customWidth="1"/>
    <col min="12" max="14" width="20.7109375" style="9" customWidth="1"/>
    <col min="15" max="15" width="20.7109375" style="7" customWidth="1"/>
    <col min="16" max="16" width="20.7109375" style="11" customWidth="1"/>
    <col min="17" max="19" width="20.7109375" style="9" customWidth="1"/>
    <col min="20" max="20" width="20.7109375" style="12" customWidth="1"/>
    <col min="21" max="24" width="20.7109375" style="9" customWidth="1"/>
    <col min="25" max="25" width="20.7109375" style="7" customWidth="1"/>
    <col min="26" max="28" width="20.7109375" style="9" customWidth="1"/>
    <col min="29" max="29" width="20.7109375" style="12" customWidth="1"/>
    <col min="30" max="31" width="20.7109375" style="9" customWidth="1"/>
    <col min="32" max="32" width="20.7109375" style="7" customWidth="1"/>
    <col min="33" max="33" width="20.7109375" style="9" customWidth="1"/>
    <col min="34" max="34" width="20.7109375" style="12" customWidth="1"/>
    <col min="35" max="35" width="20.7109375" style="9" customWidth="1"/>
    <col min="36" max="36" width="20.7109375" style="7" customWidth="1"/>
    <col min="37" max="39" width="20.7109375" style="9" customWidth="1"/>
    <col min="40" max="40" width="20.7109375" style="12" customWidth="1"/>
    <col min="41" max="44" width="20.7109375" style="9" customWidth="1"/>
    <col min="45" max="45" width="20.7109375" style="7" customWidth="1"/>
    <col min="46" max="47" width="20.7109375" style="9" customWidth="1"/>
    <col min="48" max="48" width="20.7109375" style="12" customWidth="1"/>
    <col min="49" max="55" width="20.7109375" style="9" customWidth="1"/>
  </cols>
  <sheetData>
    <row r="1" spans="1:79" s="15" customFormat="1" ht="18" customHeight="1">
      <c r="A1" s="13" t="s">
        <v>48</v>
      </c>
      <c r="B1" s="13" t="s">
        <v>49</v>
      </c>
      <c r="C1" s="13" t="s">
        <v>54</v>
      </c>
      <c r="D1" s="13" t="s">
        <v>55</v>
      </c>
      <c r="E1" s="13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  <c r="J1" s="13" t="s">
        <v>125</v>
      </c>
      <c r="K1" s="13" t="s">
        <v>59</v>
      </c>
      <c r="L1" s="14" t="s">
        <v>126</v>
      </c>
      <c r="M1" s="13" t="s">
        <v>127</v>
      </c>
      <c r="N1" s="13" t="s">
        <v>128</v>
      </c>
      <c r="O1" s="13" t="s">
        <v>129</v>
      </c>
      <c r="P1" s="13" t="s">
        <v>56</v>
      </c>
      <c r="Q1" s="13" t="s">
        <v>130</v>
      </c>
      <c r="R1" s="13" t="s">
        <v>131</v>
      </c>
      <c r="S1" s="13" t="s">
        <v>132</v>
      </c>
      <c r="T1" s="13" t="s">
        <v>57</v>
      </c>
      <c r="U1" s="13" t="s">
        <v>133</v>
      </c>
      <c r="V1" s="13" t="s">
        <v>134</v>
      </c>
      <c r="W1" s="13" t="s">
        <v>135</v>
      </c>
      <c r="X1" s="13" t="s">
        <v>136</v>
      </c>
      <c r="Y1" s="13" t="s">
        <v>137</v>
      </c>
      <c r="Z1" s="13" t="s">
        <v>138</v>
      </c>
      <c r="AA1" s="13" t="s">
        <v>139</v>
      </c>
      <c r="AB1" s="13" t="s">
        <v>140</v>
      </c>
      <c r="AC1" s="13" t="s">
        <v>58</v>
      </c>
      <c r="AD1" s="13" t="s">
        <v>141</v>
      </c>
      <c r="AE1" s="13" t="s">
        <v>142</v>
      </c>
      <c r="AF1" s="13" t="s">
        <v>143</v>
      </c>
      <c r="AG1" s="13" t="s">
        <v>144</v>
      </c>
      <c r="AH1" s="13" t="s">
        <v>166</v>
      </c>
      <c r="AI1" s="13" t="s">
        <v>145</v>
      </c>
      <c r="AJ1" s="13" t="s">
        <v>146</v>
      </c>
      <c r="AK1" s="13" t="s">
        <v>147</v>
      </c>
      <c r="AL1" s="13" t="s">
        <v>148</v>
      </c>
      <c r="AM1" s="13" t="s">
        <v>149</v>
      </c>
      <c r="AN1" s="13" t="s">
        <v>165</v>
      </c>
      <c r="AO1" s="13" t="s">
        <v>150</v>
      </c>
      <c r="AP1" s="13" t="s">
        <v>151</v>
      </c>
      <c r="AQ1" s="13" t="s">
        <v>152</v>
      </c>
      <c r="AR1" s="13" t="s">
        <v>153</v>
      </c>
      <c r="AS1" s="13" t="s">
        <v>154</v>
      </c>
      <c r="AT1" s="13" t="s">
        <v>155</v>
      </c>
      <c r="AU1" s="13" t="s">
        <v>156</v>
      </c>
      <c r="AV1" s="13" t="s">
        <v>164</v>
      </c>
      <c r="AW1" s="13" t="s">
        <v>157</v>
      </c>
      <c r="AX1" s="13" t="s">
        <v>158</v>
      </c>
      <c r="AY1" s="13" t="s">
        <v>159</v>
      </c>
      <c r="AZ1" s="13" t="s">
        <v>160</v>
      </c>
      <c r="BA1" s="13" t="s">
        <v>161</v>
      </c>
      <c r="BB1" s="13" t="s">
        <v>162</v>
      </c>
      <c r="BC1" s="13" t="s">
        <v>163</v>
      </c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</row>
    <row r="2" spans="1:79" ht="15">
      <c r="A2" s="1" t="s">
        <v>67</v>
      </c>
      <c r="B2" s="1" t="s">
        <v>60</v>
      </c>
      <c r="C2" s="1" t="s">
        <v>68</v>
      </c>
      <c r="D2" s="10">
        <v>0.4575711263459958</v>
      </c>
      <c r="E2" s="9">
        <v>0.57</v>
      </c>
      <c r="F2" s="9">
        <v>0.34</v>
      </c>
      <c r="G2" s="9">
        <v>0.37</v>
      </c>
      <c r="H2" s="9">
        <v>0.34</v>
      </c>
      <c r="I2" s="9">
        <v>0.61</v>
      </c>
      <c r="J2" s="9">
        <v>0.52</v>
      </c>
      <c r="K2" s="10">
        <v>0.3118329342782579</v>
      </c>
      <c r="L2" s="9">
        <v>0.4</v>
      </c>
      <c r="M2" s="9">
        <v>0.24</v>
      </c>
      <c r="N2" s="9">
        <v>0.41</v>
      </c>
      <c r="O2" s="9">
        <v>0.2</v>
      </c>
      <c r="P2" s="10">
        <v>0.7291120454822405</v>
      </c>
      <c r="Q2" s="9">
        <v>0.86</v>
      </c>
      <c r="R2" s="9">
        <v>1</v>
      </c>
      <c r="S2" s="9">
        <v>0.33</v>
      </c>
      <c r="T2" s="10">
        <v>0.6312332076070237</v>
      </c>
      <c r="U2" s="9">
        <v>0.65</v>
      </c>
      <c r="V2" s="9">
        <v>0.67</v>
      </c>
      <c r="W2" s="9">
        <v>0.51</v>
      </c>
      <c r="X2" s="9">
        <v>0.62</v>
      </c>
      <c r="Y2" s="9">
        <v>0.77</v>
      </c>
      <c r="Z2" s="9">
        <v>0.52</v>
      </c>
      <c r="AA2" s="9">
        <v>0.72</v>
      </c>
      <c r="AB2" s="9">
        <v>0.58</v>
      </c>
      <c r="AC2" s="10">
        <v>0.4449562379571949</v>
      </c>
      <c r="AD2" s="9">
        <v>0.54</v>
      </c>
      <c r="AE2" s="9">
        <v>0.56</v>
      </c>
      <c r="AF2" s="9">
        <v>0.25</v>
      </c>
      <c r="AG2" s="9">
        <v>0.44</v>
      </c>
      <c r="AH2" s="10">
        <v>0.42601226188907526</v>
      </c>
      <c r="AI2" s="9">
        <v>0.42</v>
      </c>
      <c r="AJ2" s="9">
        <v>0.38</v>
      </c>
      <c r="AK2" s="9">
        <v>0.44</v>
      </c>
      <c r="AL2" s="9">
        <v>0.35</v>
      </c>
      <c r="AM2" s="9">
        <v>0.54</v>
      </c>
      <c r="AN2" s="10">
        <v>0.5074784650780525</v>
      </c>
      <c r="AO2" s="9">
        <v>0.61</v>
      </c>
      <c r="AP2" s="9">
        <v>0.6</v>
      </c>
      <c r="AQ2" s="9">
        <v>0.22</v>
      </c>
      <c r="AR2" s="9">
        <v>0.48</v>
      </c>
      <c r="AS2" s="9">
        <v>0.38</v>
      </c>
      <c r="AT2" s="9">
        <v>0.58</v>
      </c>
      <c r="AU2" s="9">
        <v>0.69</v>
      </c>
      <c r="AV2" s="10">
        <v>0.4100515808987622</v>
      </c>
      <c r="AW2" s="9">
        <v>0.33</v>
      </c>
      <c r="AX2" s="9">
        <v>0.42</v>
      </c>
      <c r="AY2" s="9">
        <v>0.39</v>
      </c>
      <c r="AZ2" s="9">
        <v>0.49</v>
      </c>
      <c r="BA2" s="9">
        <v>0.32</v>
      </c>
      <c r="BB2" s="9">
        <v>0.41</v>
      </c>
      <c r="BC2" s="9">
        <v>0.51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ht="15">
      <c r="A3" s="1" t="s">
        <v>0</v>
      </c>
      <c r="B3" s="1" t="s">
        <v>61</v>
      </c>
      <c r="C3" s="1" t="s">
        <v>69</v>
      </c>
      <c r="D3" s="10">
        <v>0.4599245083640942</v>
      </c>
      <c r="E3" s="9">
        <v>0.5</v>
      </c>
      <c r="F3" s="9">
        <v>0.39</v>
      </c>
      <c r="G3" s="9">
        <v>0.44</v>
      </c>
      <c r="H3" s="9">
        <v>0.26</v>
      </c>
      <c r="I3" s="9">
        <v>0.54</v>
      </c>
      <c r="J3" s="9">
        <v>0.63</v>
      </c>
      <c r="K3" s="10">
        <v>0.4747296419384655</v>
      </c>
      <c r="L3" s="9">
        <v>0.45</v>
      </c>
      <c r="M3" s="9">
        <v>0.63</v>
      </c>
      <c r="N3" s="9">
        <v>0.54</v>
      </c>
      <c r="O3" s="9">
        <v>0.28</v>
      </c>
      <c r="P3" s="10">
        <v>0.5957185349521918</v>
      </c>
      <c r="Q3" s="9">
        <v>0.56</v>
      </c>
      <c r="R3" s="9">
        <v>1</v>
      </c>
      <c r="S3" s="9">
        <v>0.23</v>
      </c>
      <c r="T3" s="10">
        <v>0.6307413508045583</v>
      </c>
      <c r="U3" s="9">
        <v>0.65</v>
      </c>
      <c r="V3" s="9">
        <v>0.74</v>
      </c>
      <c r="W3" s="9">
        <v>0.58</v>
      </c>
      <c r="X3" s="9">
        <v>0.54</v>
      </c>
      <c r="Y3" s="9">
        <v>0.72</v>
      </c>
      <c r="Z3" s="9">
        <v>0.58</v>
      </c>
      <c r="AA3" s="9">
        <v>0.69</v>
      </c>
      <c r="AB3" s="9">
        <v>0.55</v>
      </c>
      <c r="AC3" s="10">
        <v>0.47980682937634034</v>
      </c>
      <c r="AD3" s="9">
        <v>0.56</v>
      </c>
      <c r="AE3" s="9">
        <v>0.47</v>
      </c>
      <c r="AF3" s="9">
        <v>0.48</v>
      </c>
      <c r="AG3" s="9">
        <v>0.41</v>
      </c>
      <c r="AH3" s="10">
        <v>0.4310742966961983</v>
      </c>
      <c r="AI3" s="9">
        <v>0.42</v>
      </c>
      <c r="AJ3" s="9">
        <v>0.48</v>
      </c>
      <c r="AK3" s="9">
        <v>0.36</v>
      </c>
      <c r="AL3" s="9">
        <v>0.46</v>
      </c>
      <c r="AM3" s="9">
        <v>0.43</v>
      </c>
      <c r="AN3" s="10">
        <v>0.5366584392268444</v>
      </c>
      <c r="AO3" s="9">
        <v>0.63</v>
      </c>
      <c r="AP3" s="9">
        <v>0.72</v>
      </c>
      <c r="AQ3" s="9">
        <v>0.62</v>
      </c>
      <c r="AR3" s="9">
        <v>0.45</v>
      </c>
      <c r="AS3" s="9">
        <v>0.3</v>
      </c>
      <c r="AT3" s="9">
        <v>0.34</v>
      </c>
      <c r="AU3" s="9">
        <v>0.7</v>
      </c>
      <c r="AV3" s="10">
        <v>0.43436517423791143</v>
      </c>
      <c r="AW3" s="9">
        <v>0.3</v>
      </c>
      <c r="AX3" s="9">
        <v>0.32</v>
      </c>
      <c r="AY3" s="9">
        <v>0.32</v>
      </c>
      <c r="AZ3" s="9">
        <v>0.59</v>
      </c>
      <c r="BA3" s="9">
        <v>0.47</v>
      </c>
      <c r="BB3" s="9">
        <v>0.46</v>
      </c>
      <c r="BC3" s="9">
        <v>0.58</v>
      </c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79" ht="15">
      <c r="A4" s="1" t="s">
        <v>70</v>
      </c>
      <c r="B4" s="1" t="s">
        <v>62</v>
      </c>
      <c r="C4" s="1" t="s">
        <v>71</v>
      </c>
      <c r="D4" s="10">
        <v>0.8834569319810308</v>
      </c>
      <c r="E4" s="9">
        <v>0.91</v>
      </c>
      <c r="F4" s="9">
        <v>0.88</v>
      </c>
      <c r="G4" s="9">
        <v>0.85</v>
      </c>
      <c r="H4" s="9">
        <v>0.81</v>
      </c>
      <c r="I4" s="9">
        <v>0.88</v>
      </c>
      <c r="J4" s="9">
        <v>0.97</v>
      </c>
      <c r="K4" s="10">
        <v>0.8967287344722012</v>
      </c>
      <c r="L4" s="9">
        <v>0.89</v>
      </c>
      <c r="M4" s="9">
        <v>0.94</v>
      </c>
      <c r="N4" s="9">
        <v>0.94</v>
      </c>
      <c r="O4" s="9">
        <v>0.82</v>
      </c>
      <c r="P4" s="10">
        <v>0.8588113386571005</v>
      </c>
      <c r="Q4" s="9">
        <v>0.85</v>
      </c>
      <c r="R4" s="9">
        <v>1</v>
      </c>
      <c r="S4" s="9">
        <v>0.72</v>
      </c>
      <c r="T4" s="10">
        <v>0.8428607073571279</v>
      </c>
      <c r="U4" s="9">
        <v>0.61</v>
      </c>
      <c r="V4" s="9">
        <v>0.9</v>
      </c>
      <c r="W4" s="9">
        <v>0.81</v>
      </c>
      <c r="X4" s="9">
        <v>0.89</v>
      </c>
      <c r="Y4" s="9">
        <v>0.84</v>
      </c>
      <c r="Z4" s="9">
        <v>0.93</v>
      </c>
      <c r="AA4" s="9">
        <v>0.97</v>
      </c>
      <c r="AB4" s="9">
        <v>0.79</v>
      </c>
      <c r="AC4" s="10">
        <v>0.8407632944387528</v>
      </c>
      <c r="AD4" s="9">
        <v>0.87</v>
      </c>
      <c r="AE4" s="9">
        <v>0.88</v>
      </c>
      <c r="AF4" s="9">
        <v>0.81</v>
      </c>
      <c r="AG4" s="9">
        <v>0.81</v>
      </c>
      <c r="AH4" s="10">
        <v>0.8305448482948273</v>
      </c>
      <c r="AI4" s="9">
        <v>0.78</v>
      </c>
      <c r="AJ4" s="9">
        <v>0.89</v>
      </c>
      <c r="AK4" s="9">
        <v>0.81</v>
      </c>
      <c r="AL4" s="9">
        <v>0.87</v>
      </c>
      <c r="AM4" s="9">
        <v>0.8</v>
      </c>
      <c r="AN4" s="10">
        <v>0.7232830972083272</v>
      </c>
      <c r="AO4" s="9">
        <v>0.6</v>
      </c>
      <c r="AP4" s="9">
        <v>0.56</v>
      </c>
      <c r="AQ4" s="9">
        <v>0.92</v>
      </c>
      <c r="AR4" s="9">
        <v>0.86</v>
      </c>
      <c r="AS4" s="9">
        <v>0.51</v>
      </c>
      <c r="AT4" s="9">
        <v>0.77</v>
      </c>
      <c r="AU4" s="9">
        <v>0.85</v>
      </c>
      <c r="AV4" s="10">
        <v>0.7236429265658986</v>
      </c>
      <c r="AW4" s="9">
        <v>0.56</v>
      </c>
      <c r="AX4" s="9">
        <v>0.62</v>
      </c>
      <c r="AY4" s="9">
        <v>0.65</v>
      </c>
      <c r="AZ4" s="9">
        <v>0.6</v>
      </c>
      <c r="BA4" s="9">
        <v>0.89</v>
      </c>
      <c r="BB4" s="9">
        <v>0.94</v>
      </c>
      <c r="BC4" s="9">
        <v>0.81</v>
      </c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1:79" ht="15">
      <c r="A5" s="1" t="s">
        <v>1</v>
      </c>
      <c r="B5" s="1" t="s">
        <v>63</v>
      </c>
      <c r="C5" s="1" t="s">
        <v>71</v>
      </c>
      <c r="D5" s="10">
        <v>0.8225011378235942</v>
      </c>
      <c r="E5" s="9">
        <v>0.88</v>
      </c>
      <c r="F5" s="9">
        <v>0.8</v>
      </c>
      <c r="G5" s="9">
        <v>0.7</v>
      </c>
      <c r="H5" s="9">
        <v>0.69</v>
      </c>
      <c r="I5" s="9">
        <v>0.9</v>
      </c>
      <c r="J5" s="9">
        <v>0.97</v>
      </c>
      <c r="K5" s="10">
        <v>0.7734109758167311</v>
      </c>
      <c r="L5" s="9">
        <v>0.76</v>
      </c>
      <c r="M5" s="9">
        <v>0.88</v>
      </c>
      <c r="N5" s="9">
        <v>0.91</v>
      </c>
      <c r="O5" s="9">
        <v>0.54</v>
      </c>
      <c r="P5" s="10">
        <v>0.8852567578815985</v>
      </c>
      <c r="Q5" s="9">
        <v>0.92</v>
      </c>
      <c r="R5" s="9">
        <v>1</v>
      </c>
      <c r="S5" s="9">
        <v>0.73</v>
      </c>
      <c r="T5" s="10">
        <v>0.8243385391543245</v>
      </c>
      <c r="U5" s="9">
        <v>0.69</v>
      </c>
      <c r="V5" s="9">
        <v>0.85</v>
      </c>
      <c r="W5" s="9">
        <v>0.8</v>
      </c>
      <c r="X5" s="9">
        <v>0.9</v>
      </c>
      <c r="Y5" s="9">
        <v>0.87</v>
      </c>
      <c r="Z5" s="9">
        <v>0.78</v>
      </c>
      <c r="AA5" s="9">
        <v>0.95</v>
      </c>
      <c r="AB5" s="9">
        <v>0.77</v>
      </c>
      <c r="AC5" s="10">
        <v>0.8022363309868955</v>
      </c>
      <c r="AD5" s="9">
        <v>0.85</v>
      </c>
      <c r="AE5" s="9">
        <v>1</v>
      </c>
      <c r="AF5" s="9">
        <v>0.83</v>
      </c>
      <c r="AG5" s="9">
        <v>0.52</v>
      </c>
      <c r="AH5" s="10">
        <v>0.8448388402915962</v>
      </c>
      <c r="AI5" s="9">
        <v>0.82</v>
      </c>
      <c r="AJ5" s="9">
        <v>0.88</v>
      </c>
      <c r="AK5" s="9">
        <v>0.85</v>
      </c>
      <c r="AL5" s="9">
        <v>0.81</v>
      </c>
      <c r="AM5" s="9">
        <v>0.86</v>
      </c>
      <c r="AN5" s="10">
        <v>0.7439239997169994</v>
      </c>
      <c r="AO5" s="9">
        <v>0.66</v>
      </c>
      <c r="AP5" s="9">
        <v>0.59</v>
      </c>
      <c r="AQ5" s="9">
        <v>0.9</v>
      </c>
      <c r="AR5" s="9">
        <v>0.76</v>
      </c>
      <c r="AS5" s="9">
        <v>0.58</v>
      </c>
      <c r="AT5" s="9">
        <v>0.79</v>
      </c>
      <c r="AU5" s="9">
        <v>0.94</v>
      </c>
      <c r="AV5" s="10">
        <v>0.747908091812146</v>
      </c>
      <c r="AW5" s="9">
        <v>0.64</v>
      </c>
      <c r="AX5" s="9">
        <v>0.75</v>
      </c>
      <c r="AY5" s="9">
        <v>0.7</v>
      </c>
      <c r="AZ5" s="9">
        <v>0.64</v>
      </c>
      <c r="BA5" s="9">
        <v>0.86</v>
      </c>
      <c r="BB5" s="9">
        <v>0.85</v>
      </c>
      <c r="BC5" s="9">
        <v>0.8</v>
      </c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ht="15">
      <c r="A6" s="1" t="s">
        <v>72</v>
      </c>
      <c r="B6" s="1" t="s">
        <v>64</v>
      </c>
      <c r="C6" s="1" t="s">
        <v>73</v>
      </c>
      <c r="D6" s="10">
        <v>0.40293142089657485</v>
      </c>
      <c r="E6" s="9">
        <v>0.52</v>
      </c>
      <c r="F6" s="9">
        <v>0.41</v>
      </c>
      <c r="G6" s="9">
        <v>0.39</v>
      </c>
      <c r="H6" s="9">
        <v>0.26</v>
      </c>
      <c r="I6" s="9">
        <v>0.42</v>
      </c>
      <c r="J6" s="9">
        <v>0.41</v>
      </c>
      <c r="K6" s="10">
        <v>0.29001626641235384</v>
      </c>
      <c r="L6" s="9">
        <v>0.34</v>
      </c>
      <c r="M6" s="9">
        <v>0.25</v>
      </c>
      <c r="N6" s="9">
        <v>0.23</v>
      </c>
      <c r="O6" s="9">
        <v>0.34</v>
      </c>
      <c r="P6" s="10">
        <v>0.6238574321444205</v>
      </c>
      <c r="Q6" s="9">
        <v>0.67</v>
      </c>
      <c r="R6" s="9">
        <v>1</v>
      </c>
      <c r="S6" s="9">
        <v>0.2</v>
      </c>
      <c r="T6" s="10">
        <v>0.43368755570760653</v>
      </c>
      <c r="U6" s="9">
        <v>0.51</v>
      </c>
      <c r="V6" s="9">
        <v>0.27</v>
      </c>
      <c r="W6" s="9">
        <v>0.33</v>
      </c>
      <c r="X6" s="9">
        <v>0.43</v>
      </c>
      <c r="Y6" s="9">
        <v>0.45</v>
      </c>
      <c r="Z6" s="9">
        <v>0.42</v>
      </c>
      <c r="AA6" s="9">
        <v>0.55</v>
      </c>
      <c r="AB6" s="9">
        <v>0.53</v>
      </c>
      <c r="AC6" s="10">
        <v>0.3521682217922595</v>
      </c>
      <c r="AD6" s="9">
        <v>0.44</v>
      </c>
      <c r="AE6" s="9">
        <v>0.16</v>
      </c>
      <c r="AF6" s="9">
        <v>0.44</v>
      </c>
      <c r="AG6" s="9">
        <v>0.38</v>
      </c>
      <c r="AH6" s="10">
        <v>0.35557207886821995</v>
      </c>
      <c r="AI6" s="9">
        <v>0.35</v>
      </c>
      <c r="AJ6" s="9">
        <v>0.22</v>
      </c>
      <c r="AK6" s="9">
        <v>0.46</v>
      </c>
      <c r="AL6" s="9">
        <v>0.26</v>
      </c>
      <c r="AM6" s="9">
        <v>0.48</v>
      </c>
      <c r="AN6" s="10">
        <v>0.32247674314856</v>
      </c>
      <c r="AO6" s="9">
        <v>0.39</v>
      </c>
      <c r="AP6" s="9">
        <v>0.3</v>
      </c>
      <c r="AQ6" s="9">
        <v>0.26</v>
      </c>
      <c r="AR6" s="9">
        <v>0.46</v>
      </c>
      <c r="AS6" s="9">
        <v>0.17</v>
      </c>
      <c r="AT6" s="9">
        <v>0.27</v>
      </c>
      <c r="AU6" s="9">
        <v>0.4</v>
      </c>
      <c r="AV6" s="10">
        <v>0.3818360044217273</v>
      </c>
      <c r="AW6" s="9">
        <v>0.47</v>
      </c>
      <c r="AX6" s="9">
        <v>0.42</v>
      </c>
      <c r="AY6" s="9">
        <v>0.29</v>
      </c>
      <c r="AZ6" s="9">
        <v>0.45</v>
      </c>
      <c r="BA6" s="9">
        <v>0.32</v>
      </c>
      <c r="BB6" s="9">
        <v>0.4</v>
      </c>
      <c r="BC6" s="9">
        <v>0.33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>
      <c r="A7" s="1" t="s">
        <v>74</v>
      </c>
      <c r="B7" s="1" t="s">
        <v>60</v>
      </c>
      <c r="C7" s="1" t="s">
        <v>69</v>
      </c>
      <c r="D7" s="10">
        <v>0.3350350992184788</v>
      </c>
      <c r="E7" s="9">
        <v>0.28</v>
      </c>
      <c r="F7" s="9">
        <v>0.26</v>
      </c>
      <c r="G7" s="9">
        <v>0.41</v>
      </c>
      <c r="H7" s="9">
        <v>0.49</v>
      </c>
      <c r="I7" s="9">
        <v>0.25</v>
      </c>
      <c r="J7" s="9">
        <v>0.32</v>
      </c>
      <c r="K7" s="10">
        <v>0.5034584252074124</v>
      </c>
      <c r="L7" s="9">
        <v>0.52</v>
      </c>
      <c r="M7" s="9">
        <v>0.47</v>
      </c>
      <c r="N7" s="9">
        <v>0.65</v>
      </c>
      <c r="O7" s="9">
        <v>0.38</v>
      </c>
      <c r="P7" s="10">
        <v>0.7787137872324847</v>
      </c>
      <c r="Q7" s="9">
        <v>0.82</v>
      </c>
      <c r="R7" s="9">
        <v>0.92</v>
      </c>
      <c r="S7" s="9">
        <v>0.6</v>
      </c>
      <c r="T7" s="10">
        <v>0.45363332681779484</v>
      </c>
      <c r="U7" s="9">
        <v>0.71</v>
      </c>
      <c r="V7" s="9">
        <v>0.5</v>
      </c>
      <c r="W7" s="9">
        <v>0.55</v>
      </c>
      <c r="X7" s="9">
        <v>0.26</v>
      </c>
      <c r="Y7" s="9">
        <v>0.66</v>
      </c>
      <c r="Z7" s="9">
        <v>0.04</v>
      </c>
      <c r="AA7" s="9">
        <v>0.35</v>
      </c>
      <c r="AB7" s="9">
        <v>0.55</v>
      </c>
      <c r="AC7" s="10">
        <v>0.3573422509227768</v>
      </c>
      <c r="AD7" s="9">
        <v>0.46</v>
      </c>
      <c r="AE7" s="9">
        <v>0.33</v>
      </c>
      <c r="AF7" s="9">
        <v>0.33</v>
      </c>
      <c r="AG7" s="9">
        <v>0.31</v>
      </c>
      <c r="AH7" s="10">
        <v>0.5573516025652747</v>
      </c>
      <c r="AI7" s="9">
        <v>0.58</v>
      </c>
      <c r="AJ7" s="9">
        <v>0.58</v>
      </c>
      <c r="AK7" s="9">
        <v>0.71</v>
      </c>
      <c r="AL7" s="9">
        <v>0.44</v>
      </c>
      <c r="AM7" s="9">
        <v>0.47</v>
      </c>
      <c r="AN7" s="10">
        <v>0.6296182732063922</v>
      </c>
      <c r="AO7" s="9">
        <v>0.6</v>
      </c>
      <c r="AP7" s="9">
        <v>0.73</v>
      </c>
      <c r="AQ7" s="9">
        <v>0.54</v>
      </c>
      <c r="AR7" s="9">
        <v>0.38</v>
      </c>
      <c r="AS7" s="9">
        <v>0.72</v>
      </c>
      <c r="AT7" s="9">
        <v>0.68</v>
      </c>
      <c r="AU7" s="9">
        <v>0.77</v>
      </c>
      <c r="AV7" s="10">
        <v>0.593916712076734</v>
      </c>
      <c r="AW7" s="9">
        <v>0.69</v>
      </c>
      <c r="AX7" s="9">
        <v>0.68</v>
      </c>
      <c r="AY7" s="9">
        <v>0.55</v>
      </c>
      <c r="AZ7" s="9">
        <v>0.69</v>
      </c>
      <c r="BA7" s="9">
        <v>0.66</v>
      </c>
      <c r="BB7" s="9">
        <v>0.34</v>
      </c>
      <c r="BC7" s="9">
        <v>0.55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>
      <c r="A8" s="1" t="s">
        <v>2</v>
      </c>
      <c r="B8" s="1" t="s">
        <v>63</v>
      </c>
      <c r="C8" s="1" t="s">
        <v>71</v>
      </c>
      <c r="D8" s="10">
        <v>0.7808681048535466</v>
      </c>
      <c r="E8" s="9">
        <v>0.83</v>
      </c>
      <c r="F8" s="9">
        <v>0.72</v>
      </c>
      <c r="G8" s="9">
        <v>0.81</v>
      </c>
      <c r="H8" s="9">
        <v>0.74</v>
      </c>
      <c r="I8" s="9">
        <v>0.76</v>
      </c>
      <c r="J8" s="9">
        <v>0.82</v>
      </c>
      <c r="K8" s="10">
        <v>0.7822813471465131</v>
      </c>
      <c r="L8" s="9">
        <v>0.78</v>
      </c>
      <c r="M8" s="9">
        <v>0.88</v>
      </c>
      <c r="N8" s="9">
        <v>0.87</v>
      </c>
      <c r="O8" s="9">
        <v>0.6</v>
      </c>
      <c r="P8" s="10">
        <v>0.8366062074016126</v>
      </c>
      <c r="Q8" s="9">
        <v>0.82</v>
      </c>
      <c r="R8" s="9">
        <v>1</v>
      </c>
      <c r="S8" s="9">
        <v>0.69</v>
      </c>
      <c r="T8" s="10">
        <v>0.8131221231463245</v>
      </c>
      <c r="U8" s="9">
        <v>0.78</v>
      </c>
      <c r="V8" s="9">
        <v>0.89</v>
      </c>
      <c r="W8" s="9">
        <v>0.76</v>
      </c>
      <c r="X8" s="9">
        <v>0.77</v>
      </c>
      <c r="Y8" s="9">
        <v>0.8</v>
      </c>
      <c r="Z8" s="9">
        <v>0.88</v>
      </c>
      <c r="AA8" s="9">
        <v>0.8</v>
      </c>
      <c r="AB8" s="9">
        <v>0.84</v>
      </c>
      <c r="AC8" s="10">
        <v>0.6675491466027114</v>
      </c>
      <c r="AD8" s="9">
        <v>0.66</v>
      </c>
      <c r="AE8" s="9">
        <v>0.76</v>
      </c>
      <c r="AF8" s="9">
        <v>0.65</v>
      </c>
      <c r="AG8" s="9">
        <v>0.6</v>
      </c>
      <c r="AH8" s="10">
        <v>0.6976036621271301</v>
      </c>
      <c r="AI8" s="9">
        <v>0.69</v>
      </c>
      <c r="AJ8" s="9">
        <v>0.82</v>
      </c>
      <c r="AK8" s="9">
        <v>0.54</v>
      </c>
      <c r="AL8" s="9">
        <v>0.68</v>
      </c>
      <c r="AM8" s="9">
        <v>0.76</v>
      </c>
      <c r="AN8" s="10">
        <v>0.6781502911955671</v>
      </c>
      <c r="AO8" s="9">
        <v>0.65</v>
      </c>
      <c r="AP8" s="9">
        <v>0.74</v>
      </c>
      <c r="AQ8" s="9">
        <v>0.81</v>
      </c>
      <c r="AR8" s="9">
        <v>0.73</v>
      </c>
      <c r="AS8" s="9">
        <v>0.41</v>
      </c>
      <c r="AT8" s="9">
        <v>0.65</v>
      </c>
      <c r="AU8" s="9">
        <v>0.77</v>
      </c>
      <c r="AV8" s="10">
        <v>0.7158034531413181</v>
      </c>
      <c r="AW8" s="9">
        <v>0.75</v>
      </c>
      <c r="AX8" s="9">
        <v>0.66</v>
      </c>
      <c r="AY8" s="9">
        <v>0.48</v>
      </c>
      <c r="AZ8" s="9">
        <v>0.71</v>
      </c>
      <c r="BA8" s="9">
        <v>0.8</v>
      </c>
      <c r="BB8" s="9">
        <v>0.84</v>
      </c>
      <c r="BC8" s="9">
        <v>0.76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>
      <c r="A9" s="1" t="s">
        <v>75</v>
      </c>
      <c r="B9" s="1" t="s">
        <v>61</v>
      </c>
      <c r="C9" s="1" t="s">
        <v>68</v>
      </c>
      <c r="D9" s="10">
        <v>0.37606720711393793</v>
      </c>
      <c r="E9" s="9">
        <v>0.37</v>
      </c>
      <c r="F9" s="9">
        <v>0.25</v>
      </c>
      <c r="G9" s="9">
        <v>0.38</v>
      </c>
      <c r="H9" s="9">
        <v>0.36</v>
      </c>
      <c r="I9" s="9">
        <v>0.41</v>
      </c>
      <c r="J9" s="9">
        <v>0.49</v>
      </c>
      <c r="K9" s="10">
        <v>0.24491313563896622</v>
      </c>
      <c r="L9" s="9">
        <v>0.34</v>
      </c>
      <c r="M9" s="9">
        <v>0.22</v>
      </c>
      <c r="N9" s="9">
        <v>0.22</v>
      </c>
      <c r="O9" s="9">
        <v>0.19</v>
      </c>
      <c r="P9" s="10">
        <v>0.6748822711964498</v>
      </c>
      <c r="Q9" s="9">
        <v>0.66</v>
      </c>
      <c r="R9" s="9">
        <v>1</v>
      </c>
      <c r="S9" s="9">
        <v>0.36</v>
      </c>
      <c r="T9" s="10">
        <v>0.4885871576599317</v>
      </c>
      <c r="U9" s="9">
        <v>0.44</v>
      </c>
      <c r="V9" s="9">
        <v>0.49</v>
      </c>
      <c r="W9" s="9">
        <v>0.39</v>
      </c>
      <c r="X9" s="9">
        <v>0.42</v>
      </c>
      <c r="Y9" s="9">
        <v>0.66</v>
      </c>
      <c r="Z9" s="9">
        <v>0.45</v>
      </c>
      <c r="AA9" s="9">
        <v>0.52</v>
      </c>
      <c r="AB9" s="9">
        <v>0.55</v>
      </c>
      <c r="AC9" s="10">
        <v>0.411145889086254</v>
      </c>
      <c r="AD9" s="9">
        <v>0.42</v>
      </c>
      <c r="AE9" s="9">
        <v>0.48</v>
      </c>
      <c r="AF9" s="9">
        <v>0.39</v>
      </c>
      <c r="AG9" s="9">
        <v>0.35</v>
      </c>
      <c r="AH9" s="10">
        <v>0.37442681176291737</v>
      </c>
      <c r="AI9" s="9">
        <v>0.31</v>
      </c>
      <c r="AJ9" s="9">
        <v>0.38</v>
      </c>
      <c r="AK9" s="9">
        <v>0.46</v>
      </c>
      <c r="AL9" s="9">
        <v>0.33</v>
      </c>
      <c r="AM9" s="9">
        <v>0.39</v>
      </c>
      <c r="AN9" s="10">
        <v>0.3789452634827265</v>
      </c>
      <c r="AO9" s="9">
        <v>0.47</v>
      </c>
      <c r="AP9" s="9">
        <v>0.4</v>
      </c>
      <c r="AQ9" s="9">
        <v>0.25</v>
      </c>
      <c r="AR9" s="9">
        <v>0.36</v>
      </c>
      <c r="AS9" s="9">
        <v>0.2</v>
      </c>
      <c r="AT9" s="9">
        <v>0.4</v>
      </c>
      <c r="AU9" s="9">
        <v>0.58</v>
      </c>
      <c r="AV9" s="10">
        <v>0.28212521267580826</v>
      </c>
      <c r="AW9" s="9">
        <v>0.2</v>
      </c>
      <c r="AX9" s="9">
        <v>0.14</v>
      </c>
      <c r="AY9" s="9">
        <v>0.24</v>
      </c>
      <c r="AZ9" s="9">
        <v>0.39</v>
      </c>
      <c r="BA9" s="9">
        <v>0.23</v>
      </c>
      <c r="BB9" s="9">
        <v>0.38</v>
      </c>
      <c r="BC9" s="9">
        <v>0.39</v>
      </c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5">
      <c r="A10" s="1" t="s">
        <v>76</v>
      </c>
      <c r="B10" s="1" t="s">
        <v>60</v>
      </c>
      <c r="C10" s="1" t="s">
        <v>69</v>
      </c>
      <c r="D10" s="10">
        <v>0.545037693443433</v>
      </c>
      <c r="E10" s="9">
        <v>0.65</v>
      </c>
      <c r="F10" s="9">
        <v>0.51</v>
      </c>
      <c r="G10" s="9">
        <v>0.53</v>
      </c>
      <c r="H10" s="9">
        <v>0.39</v>
      </c>
      <c r="I10" s="9">
        <v>0.55</v>
      </c>
      <c r="J10" s="9">
        <v>0.63</v>
      </c>
      <c r="K10" s="10">
        <v>0.4661862285993301</v>
      </c>
      <c r="L10" s="9">
        <v>0.43</v>
      </c>
      <c r="M10" s="9">
        <v>0.51</v>
      </c>
      <c r="N10" s="9">
        <v>0.64</v>
      </c>
      <c r="O10" s="9">
        <v>0.29</v>
      </c>
      <c r="P10" s="10">
        <v>0.7625418564450243</v>
      </c>
      <c r="Q10" s="9">
        <v>0.85</v>
      </c>
      <c r="R10" s="9">
        <v>1</v>
      </c>
      <c r="S10" s="9">
        <v>0.44</v>
      </c>
      <c r="T10" s="10">
        <v>0.6719356744497328</v>
      </c>
      <c r="U10" s="9">
        <v>0.64</v>
      </c>
      <c r="V10" s="9">
        <v>0.72</v>
      </c>
      <c r="W10" s="9">
        <v>0.7</v>
      </c>
      <c r="X10" s="9">
        <v>0.56</v>
      </c>
      <c r="Y10" s="9">
        <v>0.72</v>
      </c>
      <c r="Z10" s="9">
        <v>0.68</v>
      </c>
      <c r="AA10" s="9">
        <v>0.65</v>
      </c>
      <c r="AB10" s="9">
        <v>0.69</v>
      </c>
      <c r="AC10" s="10">
        <v>0.49076496145423815</v>
      </c>
      <c r="AD10" s="9">
        <v>0.56</v>
      </c>
      <c r="AE10" s="9">
        <v>0.51</v>
      </c>
      <c r="AF10" s="9">
        <v>0.43</v>
      </c>
      <c r="AG10" s="9">
        <v>0.47</v>
      </c>
      <c r="AH10" s="10">
        <v>0.5300409307701319</v>
      </c>
      <c r="AI10" s="9">
        <v>0.46</v>
      </c>
      <c r="AJ10" s="9">
        <v>0.47</v>
      </c>
      <c r="AK10" s="9">
        <v>0.48</v>
      </c>
      <c r="AL10" s="9">
        <v>0.65</v>
      </c>
      <c r="AM10" s="9">
        <v>0.59</v>
      </c>
      <c r="AN10" s="10">
        <v>0.4994970230493538</v>
      </c>
      <c r="AO10" s="9">
        <v>0.54</v>
      </c>
      <c r="AP10" s="9">
        <v>0.6</v>
      </c>
      <c r="AQ10" s="9">
        <v>0.5</v>
      </c>
      <c r="AR10" s="9">
        <v>0.56</v>
      </c>
      <c r="AS10" s="9">
        <v>0.25</v>
      </c>
      <c r="AT10" s="9">
        <v>0.38</v>
      </c>
      <c r="AU10" s="9">
        <v>0.66</v>
      </c>
      <c r="AV10" s="10">
        <v>0.6171539300805876</v>
      </c>
      <c r="AW10" s="9">
        <v>0.75</v>
      </c>
      <c r="AX10" s="9">
        <v>0.68</v>
      </c>
      <c r="AY10" s="9">
        <v>0.43</v>
      </c>
      <c r="AZ10" s="9">
        <v>0.64</v>
      </c>
      <c r="BA10" s="9">
        <v>0.6</v>
      </c>
      <c r="BB10" s="9">
        <v>0.51</v>
      </c>
      <c r="BC10" s="9">
        <v>0.7</v>
      </c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>
      <c r="A11" s="1" t="s">
        <v>77</v>
      </c>
      <c r="B11" s="1" t="s">
        <v>65</v>
      </c>
      <c r="C11" s="1" t="s">
        <v>69</v>
      </c>
      <c r="D11" s="10">
        <v>0.7328336029706017</v>
      </c>
      <c r="E11" s="9">
        <v>0.76</v>
      </c>
      <c r="F11" s="9">
        <v>0.79</v>
      </c>
      <c r="G11" s="9">
        <v>0.59</v>
      </c>
      <c r="H11" s="9">
        <v>0.7</v>
      </c>
      <c r="I11" s="9">
        <v>0.76</v>
      </c>
      <c r="J11" s="9">
        <v>0.8</v>
      </c>
      <c r="K11" s="10">
        <v>0.7534426446104103</v>
      </c>
      <c r="L11" s="9">
        <v>0.72</v>
      </c>
      <c r="M11" s="9">
        <v>0.8</v>
      </c>
      <c r="N11" s="9">
        <v>0.77</v>
      </c>
      <c r="O11" s="9">
        <v>0.71</v>
      </c>
      <c r="P11" s="10">
        <v>0.7643394860800755</v>
      </c>
      <c r="Q11" s="9">
        <v>0.67</v>
      </c>
      <c r="R11" s="9">
        <v>1</v>
      </c>
      <c r="S11" s="9">
        <v>0.62</v>
      </c>
      <c r="T11" s="10">
        <v>0.5927747686871245</v>
      </c>
      <c r="U11" s="9">
        <v>0.5</v>
      </c>
      <c r="V11" s="9">
        <v>0.58</v>
      </c>
      <c r="W11" s="9">
        <v>0.66</v>
      </c>
      <c r="X11" s="9">
        <v>0.76</v>
      </c>
      <c r="Y11" s="9">
        <v>0.68</v>
      </c>
      <c r="Z11" s="9">
        <v>0.21</v>
      </c>
      <c r="AA11" s="9">
        <v>0.74</v>
      </c>
      <c r="AB11" s="9">
        <v>0.61</v>
      </c>
      <c r="AC11" s="10">
        <v>0.6723145540117157</v>
      </c>
      <c r="AD11" s="9">
        <v>0.67</v>
      </c>
      <c r="AE11" s="9">
        <v>0.7</v>
      </c>
      <c r="AF11" s="9">
        <v>0.86</v>
      </c>
      <c r="AG11" s="9">
        <v>0.46</v>
      </c>
      <c r="AH11" s="10">
        <v>0.7126306218833779</v>
      </c>
      <c r="AI11" s="9">
        <v>0.74</v>
      </c>
      <c r="AJ11" s="9">
        <v>0.79</v>
      </c>
      <c r="AK11" s="9">
        <v>0.61</v>
      </c>
      <c r="AL11" s="9">
        <v>0.65</v>
      </c>
      <c r="AM11" s="9">
        <v>0.76</v>
      </c>
      <c r="AN11" s="10">
        <v>0.6542717185789104</v>
      </c>
      <c r="AO11" s="9">
        <v>0.59</v>
      </c>
      <c r="AP11" s="9">
        <v>0.46</v>
      </c>
      <c r="AQ11" s="9">
        <v>0.83</v>
      </c>
      <c r="AR11" s="9">
        <v>0.83</v>
      </c>
      <c r="AS11" s="9">
        <v>0.5</v>
      </c>
      <c r="AT11" s="9">
        <v>0.69</v>
      </c>
      <c r="AU11" s="9">
        <v>0.67</v>
      </c>
      <c r="AV11" s="10">
        <v>0.7173973968224585</v>
      </c>
      <c r="AW11" s="9">
        <v>0.75</v>
      </c>
      <c r="AX11" s="9">
        <v>0.74</v>
      </c>
      <c r="AY11" s="9">
        <v>0.5</v>
      </c>
      <c r="AZ11" s="9">
        <v>0.7</v>
      </c>
      <c r="BA11" s="9">
        <v>0.85</v>
      </c>
      <c r="BB11" s="9">
        <v>0.82</v>
      </c>
      <c r="BC11" s="9">
        <v>0.66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>
      <c r="A12" s="1" t="s">
        <v>3</v>
      </c>
      <c r="B12" s="1" t="s">
        <v>61</v>
      </c>
      <c r="C12" s="1" t="s">
        <v>69</v>
      </c>
      <c r="D12" s="10">
        <v>0.6223028236694755</v>
      </c>
      <c r="E12" s="9">
        <v>0.73</v>
      </c>
      <c r="F12" s="9">
        <v>0.62</v>
      </c>
      <c r="G12" s="9">
        <v>0.46</v>
      </c>
      <c r="H12" s="9">
        <v>0.38</v>
      </c>
      <c r="I12" s="9">
        <v>0.73</v>
      </c>
      <c r="J12" s="9">
        <v>0.81</v>
      </c>
      <c r="K12" s="10">
        <v>0.5227219822952456</v>
      </c>
      <c r="L12" s="9">
        <v>0.52</v>
      </c>
      <c r="M12" s="9">
        <v>0.67</v>
      </c>
      <c r="N12" s="9">
        <v>0.64</v>
      </c>
      <c r="O12" s="9">
        <v>0.25</v>
      </c>
      <c r="P12" s="10">
        <v>0.6355866497287609</v>
      </c>
      <c r="Q12" s="9">
        <v>0.44</v>
      </c>
      <c r="R12" s="9">
        <v>1</v>
      </c>
      <c r="S12" s="9">
        <v>0.46</v>
      </c>
      <c r="T12" s="10">
        <v>0.6947780141148396</v>
      </c>
      <c r="U12" s="9">
        <v>0.69</v>
      </c>
      <c r="V12" s="9">
        <v>0.66</v>
      </c>
      <c r="W12" s="9">
        <v>0.44</v>
      </c>
      <c r="X12" s="9">
        <v>0.73</v>
      </c>
      <c r="Y12" s="9">
        <v>0.83</v>
      </c>
      <c r="Z12" s="9">
        <v>0.73</v>
      </c>
      <c r="AA12" s="9">
        <v>0.76</v>
      </c>
      <c r="AB12" s="9">
        <v>0.73</v>
      </c>
      <c r="AC12" s="10">
        <v>0.54354909029829</v>
      </c>
      <c r="AD12" s="9">
        <v>0.47</v>
      </c>
      <c r="AE12" s="9">
        <v>0.57</v>
      </c>
      <c r="AF12" s="9">
        <v>0.52</v>
      </c>
      <c r="AG12" s="9">
        <v>0.62</v>
      </c>
      <c r="AH12" s="10">
        <v>0.5557352892360395</v>
      </c>
      <c r="AI12" s="9">
        <v>0.57</v>
      </c>
      <c r="AJ12" s="9">
        <v>0.64</v>
      </c>
      <c r="AK12" s="9">
        <v>0.48</v>
      </c>
      <c r="AL12" s="9">
        <v>0.52</v>
      </c>
      <c r="AM12" s="9">
        <v>0.57</v>
      </c>
      <c r="AN12" s="10">
        <v>0.5546280514764179</v>
      </c>
      <c r="AO12" s="9">
        <v>0.64</v>
      </c>
      <c r="AP12" s="9">
        <v>0.69</v>
      </c>
      <c r="AQ12" s="9">
        <v>0.66</v>
      </c>
      <c r="AR12" s="9">
        <v>0.69</v>
      </c>
      <c r="AS12" s="9">
        <v>0.26</v>
      </c>
      <c r="AT12" s="9">
        <v>0.36</v>
      </c>
      <c r="AU12" s="9">
        <v>0.58</v>
      </c>
      <c r="AV12" s="10">
        <v>0.485032514366572</v>
      </c>
      <c r="AW12" s="9">
        <v>0.49</v>
      </c>
      <c r="AX12" s="9">
        <v>0.42</v>
      </c>
      <c r="AY12" s="9">
        <v>0.23</v>
      </c>
      <c r="AZ12" s="9">
        <v>0.37</v>
      </c>
      <c r="BA12" s="9">
        <v>0.61</v>
      </c>
      <c r="BB12" s="9">
        <v>0.84</v>
      </c>
      <c r="BC12" s="9">
        <v>0.44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>
      <c r="A13" s="1" t="s">
        <v>78</v>
      </c>
      <c r="B13" s="1" t="s">
        <v>60</v>
      </c>
      <c r="C13" s="1" t="s">
        <v>69</v>
      </c>
      <c r="D13" s="10">
        <v>0.5146301756811993</v>
      </c>
      <c r="E13" s="9">
        <v>0.51</v>
      </c>
      <c r="F13" s="9">
        <v>0.41</v>
      </c>
      <c r="G13" s="9">
        <v>0.46</v>
      </c>
      <c r="H13" s="9">
        <v>0.34</v>
      </c>
      <c r="I13" s="9">
        <v>0.68</v>
      </c>
      <c r="J13" s="9">
        <v>0.68</v>
      </c>
      <c r="K13" s="10">
        <v>0.45726631115612915</v>
      </c>
      <c r="L13" s="9">
        <v>0.45</v>
      </c>
      <c r="M13" s="9">
        <v>0.47</v>
      </c>
      <c r="N13" s="9">
        <v>0.57</v>
      </c>
      <c r="O13" s="9">
        <v>0.33</v>
      </c>
      <c r="P13" s="10">
        <v>0.7386699330792741</v>
      </c>
      <c r="Q13" s="9">
        <v>0.79</v>
      </c>
      <c r="R13" s="9">
        <v>1</v>
      </c>
      <c r="S13" s="9">
        <v>0.43</v>
      </c>
      <c r="T13" s="10">
        <v>0.680502482014302</v>
      </c>
      <c r="U13" s="9">
        <v>0.61</v>
      </c>
      <c r="V13" s="9">
        <v>0.74</v>
      </c>
      <c r="W13" s="9">
        <v>0.51</v>
      </c>
      <c r="X13" s="9">
        <v>0.69</v>
      </c>
      <c r="Y13" s="9">
        <v>0.76</v>
      </c>
      <c r="Z13" s="9">
        <v>0.64</v>
      </c>
      <c r="AA13" s="9">
        <v>0.84</v>
      </c>
      <c r="AB13" s="9">
        <v>0.64</v>
      </c>
      <c r="AC13" s="10">
        <v>0.530962868978444</v>
      </c>
      <c r="AD13" s="9">
        <v>0.54</v>
      </c>
      <c r="AE13" s="9">
        <v>0.48</v>
      </c>
      <c r="AF13" s="9">
        <v>0.58</v>
      </c>
      <c r="AG13" s="9">
        <v>0.52</v>
      </c>
      <c r="AH13" s="10">
        <v>0.4999921052930909</v>
      </c>
      <c r="AI13" s="9">
        <v>0.5</v>
      </c>
      <c r="AJ13" s="9">
        <v>0.45</v>
      </c>
      <c r="AK13" s="9">
        <v>0.55</v>
      </c>
      <c r="AL13" s="9">
        <v>0.42</v>
      </c>
      <c r="AM13" s="9">
        <v>0.57</v>
      </c>
      <c r="AN13" s="10">
        <v>0.5661290625909735</v>
      </c>
      <c r="AO13" s="9">
        <v>0.58</v>
      </c>
      <c r="AP13" s="9">
        <v>0.71</v>
      </c>
      <c r="AQ13" s="9">
        <v>0.49</v>
      </c>
      <c r="AR13" s="9">
        <v>0.6</v>
      </c>
      <c r="AS13" s="9">
        <v>0.38</v>
      </c>
      <c r="AT13" s="9">
        <v>0.48</v>
      </c>
      <c r="AU13" s="9">
        <v>0.72</v>
      </c>
      <c r="AV13" s="10">
        <v>0.387255443160126</v>
      </c>
      <c r="AW13" s="9">
        <v>0.23</v>
      </c>
      <c r="AX13" s="9">
        <v>0.4</v>
      </c>
      <c r="AY13" s="9">
        <v>0.29</v>
      </c>
      <c r="AZ13" s="9">
        <v>0.24</v>
      </c>
      <c r="BA13" s="9">
        <v>0.4</v>
      </c>
      <c r="BB13" s="9">
        <v>0.64</v>
      </c>
      <c r="BC13" s="9">
        <v>0.51</v>
      </c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>
      <c r="A14" s="1" t="s">
        <v>79</v>
      </c>
      <c r="B14" s="1" t="s">
        <v>65</v>
      </c>
      <c r="C14" s="1" t="s">
        <v>73</v>
      </c>
      <c r="D14" s="10">
        <v>0.4331837341953797</v>
      </c>
      <c r="E14" s="9">
        <v>0.4</v>
      </c>
      <c r="F14" s="9">
        <v>0.41</v>
      </c>
      <c r="G14" s="9">
        <v>0.39</v>
      </c>
      <c r="H14" s="9">
        <v>0.36</v>
      </c>
      <c r="I14" s="9">
        <v>0.5</v>
      </c>
      <c r="J14" s="9">
        <v>0.53</v>
      </c>
      <c r="K14" s="10">
        <v>0.49639320051816443</v>
      </c>
      <c r="L14" s="9">
        <v>0.51</v>
      </c>
      <c r="M14" s="9">
        <v>0.58</v>
      </c>
      <c r="N14" s="9">
        <v>0.52</v>
      </c>
      <c r="O14" s="9">
        <v>0.38</v>
      </c>
      <c r="P14" s="10">
        <v>0.7027446967217381</v>
      </c>
      <c r="Q14" s="9">
        <v>0.79</v>
      </c>
      <c r="R14" s="9">
        <v>1</v>
      </c>
      <c r="S14" s="9">
        <v>0.32</v>
      </c>
      <c r="T14" s="10">
        <v>0.5853238237080725</v>
      </c>
      <c r="U14" s="9">
        <v>0.7</v>
      </c>
      <c r="V14" s="9">
        <v>0.49</v>
      </c>
      <c r="W14" s="9">
        <v>0.38</v>
      </c>
      <c r="X14" s="9">
        <v>0.51</v>
      </c>
      <c r="Y14" s="9">
        <v>0.8</v>
      </c>
      <c r="Z14" s="9">
        <v>0.4</v>
      </c>
      <c r="AA14" s="9">
        <v>0.71</v>
      </c>
      <c r="AB14" s="9">
        <v>0.7</v>
      </c>
      <c r="AC14" s="10">
        <v>0.41008233566197017</v>
      </c>
      <c r="AD14" s="9">
        <v>0.32</v>
      </c>
      <c r="AE14" s="9">
        <v>0.48</v>
      </c>
      <c r="AF14" s="9">
        <v>0.44</v>
      </c>
      <c r="AG14" s="9">
        <v>0.4</v>
      </c>
      <c r="AH14" s="10">
        <v>0.5649325814994505</v>
      </c>
      <c r="AI14" s="9">
        <v>0.5</v>
      </c>
      <c r="AJ14" s="9">
        <v>0.63</v>
      </c>
      <c r="AK14" s="9">
        <v>0.53</v>
      </c>
      <c r="AL14" s="9">
        <v>0.48</v>
      </c>
      <c r="AM14" s="9">
        <v>0.68</v>
      </c>
      <c r="AN14" s="10">
        <v>0.5889906259652077</v>
      </c>
      <c r="AO14" s="9">
        <v>0.46</v>
      </c>
      <c r="AP14" s="9">
        <v>0.68</v>
      </c>
      <c r="AQ14" s="9">
        <v>0.56</v>
      </c>
      <c r="AR14" s="9">
        <v>0.56</v>
      </c>
      <c r="AS14" s="9">
        <v>0.54</v>
      </c>
      <c r="AT14" s="9">
        <v>0.61</v>
      </c>
      <c r="AU14" s="9">
        <v>0.72</v>
      </c>
      <c r="AV14" s="10">
        <v>0.44652524019713075</v>
      </c>
      <c r="AW14" s="9">
        <v>0.56</v>
      </c>
      <c r="AX14" s="9">
        <v>0.47</v>
      </c>
      <c r="AY14" s="9">
        <v>0.26</v>
      </c>
      <c r="AZ14" s="9">
        <v>0.6</v>
      </c>
      <c r="BA14" s="9">
        <v>0.45</v>
      </c>
      <c r="BB14" s="9">
        <v>0.41</v>
      </c>
      <c r="BC14" s="9">
        <v>0.38</v>
      </c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>
      <c r="A15" s="1" t="s">
        <v>4</v>
      </c>
      <c r="B15" s="1" t="s">
        <v>62</v>
      </c>
      <c r="C15" s="1" t="s">
        <v>73</v>
      </c>
      <c r="D15" s="10">
        <v>0.33941793747648297</v>
      </c>
      <c r="E15" s="9">
        <v>0.43</v>
      </c>
      <c r="F15" s="9">
        <v>0.26</v>
      </c>
      <c r="G15" s="9">
        <v>0.24</v>
      </c>
      <c r="H15" s="9">
        <v>0.37</v>
      </c>
      <c r="I15" s="9">
        <v>0.36</v>
      </c>
      <c r="J15" s="9">
        <v>0.38</v>
      </c>
      <c r="K15" s="10">
        <v>0.3095372702256043</v>
      </c>
      <c r="L15" s="9">
        <v>0.39</v>
      </c>
      <c r="M15" s="9">
        <v>0.19</v>
      </c>
      <c r="N15" s="9">
        <v>0.19</v>
      </c>
      <c r="O15" s="9">
        <v>0.47</v>
      </c>
      <c r="P15" s="10">
        <v>0.7028245264459669</v>
      </c>
      <c r="Q15" s="9">
        <v>0.84</v>
      </c>
      <c r="R15" s="9">
        <v>0.92</v>
      </c>
      <c r="S15" s="9">
        <v>0.35</v>
      </c>
      <c r="T15" s="10">
        <v>0.4324992479885253</v>
      </c>
      <c r="U15" s="9">
        <v>0.49</v>
      </c>
      <c r="V15" s="9">
        <v>0.42</v>
      </c>
      <c r="W15" s="9">
        <v>0.34</v>
      </c>
      <c r="X15" s="9">
        <v>0.36</v>
      </c>
      <c r="Y15" s="9">
        <v>0.41</v>
      </c>
      <c r="Z15" s="9">
        <v>0.38</v>
      </c>
      <c r="AA15" s="9">
        <v>0.47</v>
      </c>
      <c r="AB15" s="9">
        <v>0.6</v>
      </c>
      <c r="AC15" s="10">
        <v>0.3653081147377981</v>
      </c>
      <c r="AD15" s="9">
        <v>0.45</v>
      </c>
      <c r="AE15" s="9">
        <v>0.31</v>
      </c>
      <c r="AF15" s="9">
        <v>0.45</v>
      </c>
      <c r="AG15" s="9">
        <v>0.25</v>
      </c>
      <c r="AH15" s="10">
        <v>0.3271216416226614</v>
      </c>
      <c r="AI15" s="9">
        <v>0.32</v>
      </c>
      <c r="AJ15" s="9">
        <v>0.3</v>
      </c>
      <c r="AK15" s="9">
        <v>0.54</v>
      </c>
      <c r="AL15" s="9">
        <v>0.15</v>
      </c>
      <c r="AM15" s="9">
        <v>0.33</v>
      </c>
      <c r="AN15" s="10">
        <v>0.37437709495704274</v>
      </c>
      <c r="AO15" s="9">
        <v>0.39</v>
      </c>
      <c r="AP15" s="9">
        <v>0.25</v>
      </c>
      <c r="AQ15" s="9">
        <v>0.18</v>
      </c>
      <c r="AR15" s="9">
        <v>0.46</v>
      </c>
      <c r="AS15" s="9">
        <v>0.41</v>
      </c>
      <c r="AT15" s="9">
        <v>0.38</v>
      </c>
      <c r="AU15" s="9">
        <v>0.56</v>
      </c>
      <c r="AV15" s="10">
        <v>0.3965153189454826</v>
      </c>
      <c r="AW15" s="9">
        <v>0.53</v>
      </c>
      <c r="AX15" s="9">
        <v>0.51</v>
      </c>
      <c r="AY15" s="9">
        <v>0.26</v>
      </c>
      <c r="AZ15" s="9">
        <v>0.39</v>
      </c>
      <c r="BA15" s="9">
        <v>0.2</v>
      </c>
      <c r="BB15" s="9">
        <v>0.54</v>
      </c>
      <c r="BC15" s="9">
        <v>0.34</v>
      </c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5">
      <c r="A16" s="1" t="s">
        <v>5</v>
      </c>
      <c r="B16" s="1" t="s">
        <v>65</v>
      </c>
      <c r="C16" s="1" t="s">
        <v>68</v>
      </c>
      <c r="D16" s="10">
        <v>0.3084393725219006</v>
      </c>
      <c r="E16" s="9">
        <v>0.24</v>
      </c>
      <c r="F16" s="9">
        <v>0.27</v>
      </c>
      <c r="G16" s="9">
        <v>0.44</v>
      </c>
      <c r="H16" s="9">
        <v>0.38</v>
      </c>
      <c r="I16" s="9">
        <v>0.36</v>
      </c>
      <c r="J16" s="9">
        <v>0.16</v>
      </c>
      <c r="K16" s="10">
        <v>0.20123941578361718</v>
      </c>
      <c r="L16" s="9">
        <v>0.23</v>
      </c>
      <c r="M16" s="9">
        <v>0.28</v>
      </c>
      <c r="N16" s="9">
        <v>0.19</v>
      </c>
      <c r="O16" s="9">
        <v>0.11</v>
      </c>
      <c r="P16" s="10">
        <v>0.6162460754229896</v>
      </c>
      <c r="Q16" s="9">
        <v>0.74</v>
      </c>
      <c r="R16" s="9">
        <v>0.83</v>
      </c>
      <c r="S16" s="9">
        <v>0.28</v>
      </c>
      <c r="T16" s="10">
        <v>0.42020262563854555</v>
      </c>
      <c r="U16" s="9">
        <v>0.4</v>
      </c>
      <c r="V16" s="9">
        <v>0.43</v>
      </c>
      <c r="W16" s="9">
        <v>0.28</v>
      </c>
      <c r="X16" s="9">
        <v>0.36</v>
      </c>
      <c r="Y16" s="9">
        <v>0.63</v>
      </c>
      <c r="Z16" s="9">
        <v>0.35</v>
      </c>
      <c r="AA16" s="9">
        <v>0.52</v>
      </c>
      <c r="AB16" s="9">
        <v>0.39</v>
      </c>
      <c r="AC16" s="10">
        <v>0.2675702012182509</v>
      </c>
      <c r="AD16" s="9">
        <v>0.34</v>
      </c>
      <c r="AE16" s="9">
        <v>0.25</v>
      </c>
      <c r="AF16" s="9">
        <v>0.27</v>
      </c>
      <c r="AG16" s="9">
        <v>0.21</v>
      </c>
      <c r="AH16" s="10">
        <v>0.28347509339454224</v>
      </c>
      <c r="AI16" s="9">
        <v>0.35</v>
      </c>
      <c r="AJ16" s="9">
        <v>0.29</v>
      </c>
      <c r="AK16" s="9">
        <v>0.18</v>
      </c>
      <c r="AL16" s="9">
        <v>0.25</v>
      </c>
      <c r="AM16" s="9">
        <v>0.35</v>
      </c>
      <c r="AN16" s="10">
        <v>0.34594980055639335</v>
      </c>
      <c r="AO16" s="9">
        <v>0.43</v>
      </c>
      <c r="AP16" s="9">
        <v>0.44</v>
      </c>
      <c r="AQ16" s="9">
        <v>0.26</v>
      </c>
      <c r="AR16" s="9">
        <v>0.36</v>
      </c>
      <c r="AS16" s="9">
        <v>0.18</v>
      </c>
      <c r="AT16" s="9">
        <v>0.21</v>
      </c>
      <c r="AU16" s="9">
        <v>0.54</v>
      </c>
      <c r="AV16" s="10">
        <v>0.31706423282054147</v>
      </c>
      <c r="AW16" s="9">
        <v>0.42</v>
      </c>
      <c r="AX16" s="9">
        <v>0.33</v>
      </c>
      <c r="AY16" s="9">
        <v>0.06</v>
      </c>
      <c r="AZ16" s="9">
        <v>0.4</v>
      </c>
      <c r="BA16" s="9">
        <v>0.22</v>
      </c>
      <c r="BB16" s="9">
        <v>0.51</v>
      </c>
      <c r="BC16" s="9">
        <v>0.28</v>
      </c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5">
      <c r="A17" s="1" t="s">
        <v>6</v>
      </c>
      <c r="B17" s="1" t="s">
        <v>63</v>
      </c>
      <c r="C17" s="1" t="s">
        <v>71</v>
      </c>
      <c r="D17" s="10">
        <v>0.7827798588953275</v>
      </c>
      <c r="E17" s="9">
        <v>0.78</v>
      </c>
      <c r="F17" s="9">
        <v>0.78</v>
      </c>
      <c r="G17" s="9">
        <v>0.81</v>
      </c>
      <c r="H17" s="9">
        <v>0.71</v>
      </c>
      <c r="I17" s="9">
        <v>0.76</v>
      </c>
      <c r="J17" s="9">
        <v>0.85</v>
      </c>
      <c r="K17" s="10">
        <v>0.8062545332671343</v>
      </c>
      <c r="L17" s="9">
        <v>0.8</v>
      </c>
      <c r="M17" s="9">
        <v>0.88</v>
      </c>
      <c r="N17" s="9">
        <v>0.85</v>
      </c>
      <c r="O17" s="9">
        <v>0.69</v>
      </c>
      <c r="P17" s="10">
        <v>0.8808014348623615</v>
      </c>
      <c r="Q17" s="9">
        <v>0.9</v>
      </c>
      <c r="R17" s="9">
        <v>1</v>
      </c>
      <c r="S17" s="9">
        <v>0.74</v>
      </c>
      <c r="T17" s="10">
        <v>0.7779774270773672</v>
      </c>
      <c r="U17" s="9">
        <v>0.62</v>
      </c>
      <c r="V17" s="9">
        <v>0.88</v>
      </c>
      <c r="W17" s="9">
        <v>0.76</v>
      </c>
      <c r="X17" s="9">
        <v>0.76</v>
      </c>
      <c r="Y17" s="9">
        <v>0.87</v>
      </c>
      <c r="Z17" s="9">
        <v>0.85</v>
      </c>
      <c r="AA17" s="9">
        <v>0.82</v>
      </c>
      <c r="AB17" s="9">
        <v>0.67</v>
      </c>
      <c r="AC17" s="10">
        <v>0.8395729547895915</v>
      </c>
      <c r="AD17" s="9">
        <v>0.82</v>
      </c>
      <c r="AE17" s="9">
        <v>0.88</v>
      </c>
      <c r="AF17" s="9">
        <v>0.82</v>
      </c>
      <c r="AG17" s="9">
        <v>0.84</v>
      </c>
      <c r="AH17" s="10">
        <v>0.7853736015620237</v>
      </c>
      <c r="AI17" s="9">
        <v>0.7</v>
      </c>
      <c r="AJ17" s="9">
        <v>0.83</v>
      </c>
      <c r="AK17" s="9">
        <v>0.72</v>
      </c>
      <c r="AL17" s="9">
        <v>0.85</v>
      </c>
      <c r="AM17" s="9">
        <v>0.83</v>
      </c>
      <c r="AN17" s="10">
        <v>0.7231395546019926</v>
      </c>
      <c r="AO17" s="9">
        <v>0.64</v>
      </c>
      <c r="AP17" s="9">
        <v>0.65</v>
      </c>
      <c r="AQ17" s="9">
        <v>0.84</v>
      </c>
      <c r="AR17" s="9">
        <v>0.83</v>
      </c>
      <c r="AS17" s="9">
        <v>0.47</v>
      </c>
      <c r="AT17" s="9">
        <v>0.79</v>
      </c>
      <c r="AU17" s="9">
        <v>0.84</v>
      </c>
      <c r="AV17" s="10">
        <v>0.7483863194640358</v>
      </c>
      <c r="AW17" s="9">
        <v>0.82</v>
      </c>
      <c r="AX17" s="9">
        <v>0.74</v>
      </c>
      <c r="AY17" s="9">
        <v>0.69</v>
      </c>
      <c r="AZ17" s="9">
        <v>0.56</v>
      </c>
      <c r="BA17" s="9">
        <v>0.8</v>
      </c>
      <c r="BB17" s="9">
        <v>0.86</v>
      </c>
      <c r="BC17" s="9">
        <v>0.76</v>
      </c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5">
      <c r="A18" s="1" t="s">
        <v>7</v>
      </c>
      <c r="B18" s="1" t="s">
        <v>61</v>
      </c>
      <c r="C18" s="1" t="s">
        <v>69</v>
      </c>
      <c r="D18" s="10">
        <v>0.7366246455514838</v>
      </c>
      <c r="E18" s="9">
        <v>0.78</v>
      </c>
      <c r="F18" s="9">
        <v>0.66</v>
      </c>
      <c r="G18" s="9">
        <v>0.76</v>
      </c>
      <c r="H18" s="9">
        <v>0.59</v>
      </c>
      <c r="I18" s="9">
        <v>0.74</v>
      </c>
      <c r="J18" s="9">
        <v>0.89</v>
      </c>
      <c r="K18" s="10">
        <v>0.7389208735275772</v>
      </c>
      <c r="L18" s="9">
        <v>0.78</v>
      </c>
      <c r="M18" s="9">
        <v>0.78</v>
      </c>
      <c r="N18" s="9">
        <v>0.83</v>
      </c>
      <c r="O18" s="9">
        <v>0.56</v>
      </c>
      <c r="P18" s="10">
        <v>0.7037944202119641</v>
      </c>
      <c r="Q18" s="9">
        <v>0.77</v>
      </c>
      <c r="R18" s="9">
        <v>1</v>
      </c>
      <c r="S18" s="9">
        <v>0.34</v>
      </c>
      <c r="T18" s="10">
        <v>0.7293100502530141</v>
      </c>
      <c r="U18" s="9">
        <v>0.57</v>
      </c>
      <c r="V18" s="9">
        <v>0.84</v>
      </c>
      <c r="W18" s="9">
        <v>0.61</v>
      </c>
      <c r="X18" s="9">
        <v>0.74</v>
      </c>
      <c r="Y18" s="9">
        <v>0.79</v>
      </c>
      <c r="Z18" s="9">
        <v>0.82</v>
      </c>
      <c r="AA18" s="9">
        <v>0.77</v>
      </c>
      <c r="AB18" s="9">
        <v>0.69</v>
      </c>
      <c r="AC18" s="10">
        <v>0.6815724899036798</v>
      </c>
      <c r="AD18" s="9">
        <v>0.54</v>
      </c>
      <c r="AE18" s="9">
        <v>0.89</v>
      </c>
      <c r="AF18" s="9">
        <v>0.52</v>
      </c>
      <c r="AG18" s="9">
        <v>0.78</v>
      </c>
      <c r="AH18" s="10">
        <v>0.6554703218106104</v>
      </c>
      <c r="AI18" s="9">
        <v>0.57</v>
      </c>
      <c r="AJ18" s="9">
        <v>0.7</v>
      </c>
      <c r="AK18" s="9">
        <v>0.74</v>
      </c>
      <c r="AL18" s="9">
        <v>0.49</v>
      </c>
      <c r="AM18" s="9">
        <v>0.77</v>
      </c>
      <c r="AN18" s="10">
        <v>0.6601082844213385</v>
      </c>
      <c r="AO18" s="9">
        <v>0.77</v>
      </c>
      <c r="AP18" s="9">
        <v>0.65</v>
      </c>
      <c r="AQ18" s="9">
        <v>0.69</v>
      </c>
      <c r="AR18" s="9">
        <v>0.74</v>
      </c>
      <c r="AS18" s="9">
        <v>0.38</v>
      </c>
      <c r="AT18" s="9">
        <v>0.6</v>
      </c>
      <c r="AU18" s="9">
        <v>0.8</v>
      </c>
      <c r="AV18" s="10">
        <v>0.6024559098025976</v>
      </c>
      <c r="AW18" s="9">
        <v>0.61</v>
      </c>
      <c r="AX18" s="9">
        <v>0.68</v>
      </c>
      <c r="AY18" s="9">
        <v>0.26</v>
      </c>
      <c r="AZ18" s="9">
        <v>0.56</v>
      </c>
      <c r="BA18" s="9">
        <v>0.73</v>
      </c>
      <c r="BB18" s="9">
        <v>0.77</v>
      </c>
      <c r="BC18" s="9">
        <v>0.61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5">
      <c r="A19" s="1" t="s">
        <v>8</v>
      </c>
      <c r="B19" s="1" t="s">
        <v>62</v>
      </c>
      <c r="C19" s="1" t="s">
        <v>69</v>
      </c>
      <c r="D19" s="10">
        <v>0.3639993286263179</v>
      </c>
      <c r="E19" s="9">
        <v>0.65</v>
      </c>
      <c r="F19" s="9">
        <v>0.45</v>
      </c>
      <c r="G19" s="9">
        <v>0.35</v>
      </c>
      <c r="H19" s="9">
        <v>0.37</v>
      </c>
      <c r="I19" s="9">
        <v>0.11</v>
      </c>
      <c r="J19" s="9">
        <v>0.25</v>
      </c>
      <c r="K19" s="10">
        <v>0.5185998686553852</v>
      </c>
      <c r="L19" s="9">
        <v>0.49</v>
      </c>
      <c r="M19" s="9">
        <v>0.4</v>
      </c>
      <c r="N19" s="9">
        <v>0.65</v>
      </c>
      <c r="O19" s="9">
        <v>0.53</v>
      </c>
      <c r="P19" s="10">
        <v>0.7837617464895129</v>
      </c>
      <c r="Q19" s="9">
        <v>0.75</v>
      </c>
      <c r="R19" s="9">
        <v>0.92</v>
      </c>
      <c r="S19" s="9">
        <v>0.68</v>
      </c>
      <c r="T19" s="10">
        <v>0.3544278068324083</v>
      </c>
      <c r="U19" s="9">
        <v>0.6</v>
      </c>
      <c r="V19" s="9">
        <v>0.46</v>
      </c>
      <c r="W19" s="9">
        <v>0.49</v>
      </c>
      <c r="X19" s="9">
        <v>0.1</v>
      </c>
      <c r="Y19" s="9">
        <v>0.16</v>
      </c>
      <c r="Z19" s="9">
        <v>0.34</v>
      </c>
      <c r="AA19" s="9">
        <v>0.13</v>
      </c>
      <c r="AB19" s="9">
        <v>0.55</v>
      </c>
      <c r="AC19" s="10">
        <v>0.4213834489519603</v>
      </c>
      <c r="AD19" s="9">
        <v>0.69</v>
      </c>
      <c r="AE19" s="9">
        <v>0.5</v>
      </c>
      <c r="AF19" s="9">
        <v>0.23</v>
      </c>
      <c r="AG19" s="9">
        <v>0.27</v>
      </c>
      <c r="AH19" s="10">
        <v>0.4069148078475844</v>
      </c>
      <c r="AI19" s="9">
        <v>0.41</v>
      </c>
      <c r="AJ19" s="9">
        <v>0.46</v>
      </c>
      <c r="AK19" s="9">
        <v>0.54</v>
      </c>
      <c r="AL19" s="9">
        <v>0.35</v>
      </c>
      <c r="AM19" s="9">
        <v>0.27</v>
      </c>
      <c r="AN19" s="10">
        <v>0.4306542103835595</v>
      </c>
      <c r="AO19" s="9">
        <v>0.58</v>
      </c>
      <c r="AP19" s="9">
        <v>0.45</v>
      </c>
      <c r="AQ19" s="9">
        <v>0.37</v>
      </c>
      <c r="AR19" s="9">
        <v>0.1</v>
      </c>
      <c r="AS19" s="9">
        <v>0.64</v>
      </c>
      <c r="AT19" s="9">
        <v>0.35</v>
      </c>
      <c r="AU19" s="9">
        <v>0.52</v>
      </c>
      <c r="AV19" s="10">
        <v>0.5433505343272917</v>
      </c>
      <c r="AW19" s="9">
        <v>0.77</v>
      </c>
      <c r="AX19" s="9">
        <v>0.59</v>
      </c>
      <c r="AY19" s="9">
        <v>0.63</v>
      </c>
      <c r="AZ19" s="9">
        <v>0.65</v>
      </c>
      <c r="BA19" s="9">
        <v>0.59</v>
      </c>
      <c r="BB19" s="9">
        <v>0.09</v>
      </c>
      <c r="BC19" s="9">
        <v>0.49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5">
      <c r="A20" s="1" t="s">
        <v>80</v>
      </c>
      <c r="B20" s="1" t="s">
        <v>61</v>
      </c>
      <c r="C20" s="1" t="s">
        <v>69</v>
      </c>
      <c r="D20" s="10">
        <v>0.5459972126114335</v>
      </c>
      <c r="E20" s="9">
        <v>0.61</v>
      </c>
      <c r="F20" s="9">
        <v>0.49</v>
      </c>
      <c r="G20" s="9">
        <v>0.46</v>
      </c>
      <c r="H20" s="9">
        <v>0.44</v>
      </c>
      <c r="I20" s="9">
        <v>0.61</v>
      </c>
      <c r="J20" s="9">
        <v>0.66</v>
      </c>
      <c r="K20" s="10">
        <v>0.43734033044426857</v>
      </c>
      <c r="L20" s="9">
        <v>0.52</v>
      </c>
      <c r="M20" s="9">
        <v>0.51</v>
      </c>
      <c r="N20" s="9">
        <v>0.52</v>
      </c>
      <c r="O20" s="9">
        <v>0.2</v>
      </c>
      <c r="P20" s="10">
        <v>0.42748009883420485</v>
      </c>
      <c r="Q20" s="9">
        <v>0.39</v>
      </c>
      <c r="R20" s="9">
        <v>0.58</v>
      </c>
      <c r="S20" s="9">
        <v>0.31</v>
      </c>
      <c r="T20" s="10">
        <v>0.5474346847087118</v>
      </c>
      <c r="U20" s="9">
        <v>0.54</v>
      </c>
      <c r="V20" s="9">
        <v>0.47</v>
      </c>
      <c r="W20" s="9">
        <v>0.43</v>
      </c>
      <c r="X20" s="9">
        <v>0.61</v>
      </c>
      <c r="Y20" s="9">
        <v>0.65</v>
      </c>
      <c r="Z20" s="9">
        <v>0.48</v>
      </c>
      <c r="AA20" s="9">
        <v>0.64</v>
      </c>
      <c r="AB20" s="9">
        <v>0.56</v>
      </c>
      <c r="AC20" s="10">
        <v>0.5133887692147059</v>
      </c>
      <c r="AD20" s="9">
        <v>0.54</v>
      </c>
      <c r="AE20" s="9">
        <v>0.38</v>
      </c>
      <c r="AF20" s="9">
        <v>0.55</v>
      </c>
      <c r="AG20" s="9">
        <v>0.59</v>
      </c>
      <c r="AH20" s="10">
        <v>0.5183000341831299</v>
      </c>
      <c r="AI20" s="9">
        <v>0.44</v>
      </c>
      <c r="AJ20" s="9">
        <v>0.6</v>
      </c>
      <c r="AK20" s="9">
        <v>0.32</v>
      </c>
      <c r="AL20" s="9">
        <v>0.53</v>
      </c>
      <c r="AM20" s="9">
        <v>0.7</v>
      </c>
      <c r="AN20" s="10">
        <v>0.5345278351313624</v>
      </c>
      <c r="AO20" s="9">
        <v>0.64</v>
      </c>
      <c r="AP20" s="9">
        <v>0.57</v>
      </c>
      <c r="AQ20" s="9">
        <v>0.49</v>
      </c>
      <c r="AR20" s="9">
        <v>0.61</v>
      </c>
      <c r="AS20" s="9">
        <v>0.26</v>
      </c>
      <c r="AT20" s="9">
        <v>0.44</v>
      </c>
      <c r="AU20" s="9">
        <v>0.74</v>
      </c>
      <c r="AV20" s="10">
        <v>0.4315201644016633</v>
      </c>
      <c r="AW20" s="9">
        <v>0.49</v>
      </c>
      <c r="AX20" s="9">
        <v>0.39</v>
      </c>
      <c r="AY20" s="9">
        <v>0.21</v>
      </c>
      <c r="AZ20" s="9">
        <v>0.43</v>
      </c>
      <c r="BA20" s="9">
        <v>0.44</v>
      </c>
      <c r="BB20" s="9">
        <v>0.63</v>
      </c>
      <c r="BC20" s="9">
        <v>0.43</v>
      </c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5">
      <c r="A21" s="1" t="s">
        <v>81</v>
      </c>
      <c r="B21" s="1" t="s">
        <v>65</v>
      </c>
      <c r="C21" s="1" t="s">
        <v>68</v>
      </c>
      <c r="D21" s="10">
        <v>0.4264923553001976</v>
      </c>
      <c r="E21" s="9">
        <v>0.46</v>
      </c>
      <c r="F21" s="9">
        <v>0.35</v>
      </c>
      <c r="G21" s="9">
        <v>0.41</v>
      </c>
      <c r="H21" s="9">
        <v>0.41</v>
      </c>
      <c r="I21" s="9">
        <v>0.45</v>
      </c>
      <c r="J21" s="9">
        <v>0.48</v>
      </c>
      <c r="K21" s="10">
        <v>0.3943808833631558</v>
      </c>
      <c r="L21" s="9">
        <v>0.44</v>
      </c>
      <c r="M21" s="9">
        <v>0.35</v>
      </c>
      <c r="N21" s="9">
        <v>0.47</v>
      </c>
      <c r="O21" s="9">
        <v>0.32</v>
      </c>
      <c r="P21" s="10">
        <v>0.5761444870536713</v>
      </c>
      <c r="Q21" s="9">
        <v>0.6</v>
      </c>
      <c r="R21" s="9">
        <v>0.75</v>
      </c>
      <c r="S21" s="9">
        <v>0.37</v>
      </c>
      <c r="T21" s="10">
        <v>0.49975617180950704</v>
      </c>
      <c r="U21" s="9">
        <v>0.65</v>
      </c>
      <c r="V21" s="9">
        <v>0.28</v>
      </c>
      <c r="W21" s="9">
        <v>0.29</v>
      </c>
      <c r="X21" s="9">
        <v>0.46</v>
      </c>
      <c r="Y21" s="9">
        <v>0.77</v>
      </c>
      <c r="Z21" s="9">
        <v>0.25</v>
      </c>
      <c r="AA21" s="9">
        <v>0.64</v>
      </c>
      <c r="AB21" s="9">
        <v>0.67</v>
      </c>
      <c r="AC21" s="10">
        <v>0.3746638392785211</v>
      </c>
      <c r="AD21" s="9">
        <v>0.25</v>
      </c>
      <c r="AE21" s="9">
        <v>0.33</v>
      </c>
      <c r="AF21" s="9">
        <v>0.51</v>
      </c>
      <c r="AG21" s="9">
        <v>0.4</v>
      </c>
      <c r="AH21" s="10">
        <v>0.4836038199184651</v>
      </c>
      <c r="AI21" s="9">
        <v>0.36</v>
      </c>
      <c r="AJ21" s="9">
        <v>0.47</v>
      </c>
      <c r="AK21" s="9">
        <v>0.52</v>
      </c>
      <c r="AL21" s="9">
        <v>0.42</v>
      </c>
      <c r="AM21" s="9">
        <v>0.65</v>
      </c>
      <c r="AN21" s="10">
        <v>0.5092279646690071</v>
      </c>
      <c r="AO21" s="9">
        <v>0.48</v>
      </c>
      <c r="AP21" s="9">
        <v>0.54</v>
      </c>
      <c r="AQ21" s="9">
        <v>0.42</v>
      </c>
      <c r="AR21" s="9">
        <v>0.51</v>
      </c>
      <c r="AS21" s="9">
        <v>0.39</v>
      </c>
      <c r="AT21" s="9">
        <v>0.49</v>
      </c>
      <c r="AU21" s="9">
        <v>0.74</v>
      </c>
      <c r="AV21" s="10">
        <v>0.372024763813345</v>
      </c>
      <c r="AW21" s="9">
        <v>0.43</v>
      </c>
      <c r="AX21" s="9">
        <v>0.49</v>
      </c>
      <c r="AY21" s="9">
        <v>0.11</v>
      </c>
      <c r="AZ21" s="9">
        <v>0.38</v>
      </c>
      <c r="BA21" s="9">
        <v>0.37</v>
      </c>
      <c r="BB21" s="9">
        <v>0.54</v>
      </c>
      <c r="BC21" s="9">
        <v>0.29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5">
      <c r="A22" s="1" t="s">
        <v>82</v>
      </c>
      <c r="B22" s="1" t="s">
        <v>60</v>
      </c>
      <c r="C22" s="1" t="s">
        <v>71</v>
      </c>
      <c r="D22" s="10">
        <v>0.6111957359409206</v>
      </c>
      <c r="E22" s="9">
        <v>0.67</v>
      </c>
      <c r="F22" s="9">
        <v>0.49</v>
      </c>
      <c r="G22" s="9">
        <v>0.56</v>
      </c>
      <c r="H22" s="9">
        <v>0.48</v>
      </c>
      <c r="I22" s="9">
        <v>0.68</v>
      </c>
      <c r="J22" s="9">
        <v>0.79</v>
      </c>
      <c r="K22" s="10">
        <v>0.5467458901485189</v>
      </c>
      <c r="L22" s="9">
        <v>0.52</v>
      </c>
      <c r="M22" s="9">
        <v>0.62</v>
      </c>
      <c r="N22" s="9">
        <v>0.66</v>
      </c>
      <c r="O22" s="9">
        <v>0.39</v>
      </c>
      <c r="P22" s="10">
        <v>0.7678772963225059</v>
      </c>
      <c r="Q22" s="9">
        <v>0.87</v>
      </c>
      <c r="R22" s="9">
        <v>1</v>
      </c>
      <c r="S22" s="9">
        <v>0.43</v>
      </c>
      <c r="T22" s="10">
        <v>0.6723092549083088</v>
      </c>
      <c r="U22" s="9">
        <v>0.66</v>
      </c>
      <c r="V22" s="9">
        <v>0.73</v>
      </c>
      <c r="W22" s="9">
        <v>0.66</v>
      </c>
      <c r="X22" s="9">
        <v>0.69</v>
      </c>
      <c r="Y22" s="9">
        <v>0.67</v>
      </c>
      <c r="Z22" s="9">
        <v>0.5</v>
      </c>
      <c r="AA22" s="9">
        <v>0.74</v>
      </c>
      <c r="AB22" s="9">
        <v>0.71</v>
      </c>
      <c r="AC22" s="10">
        <v>0.5285473536910115</v>
      </c>
      <c r="AD22" s="9">
        <v>0.6</v>
      </c>
      <c r="AE22" s="9">
        <v>0.56</v>
      </c>
      <c r="AF22" s="9">
        <v>0.43</v>
      </c>
      <c r="AG22" s="9">
        <v>0.52</v>
      </c>
      <c r="AH22" s="10">
        <v>0.4839712591261411</v>
      </c>
      <c r="AI22" s="9">
        <v>0.55</v>
      </c>
      <c r="AJ22" s="9">
        <v>0.52</v>
      </c>
      <c r="AK22" s="9">
        <v>0.34</v>
      </c>
      <c r="AL22" s="9">
        <v>0.43</v>
      </c>
      <c r="AM22" s="9">
        <v>0.59</v>
      </c>
      <c r="AN22" s="10">
        <v>0.5120393055586049</v>
      </c>
      <c r="AO22" s="9">
        <v>0.65</v>
      </c>
      <c r="AP22" s="9">
        <v>0.65</v>
      </c>
      <c r="AQ22" s="9">
        <v>0.56</v>
      </c>
      <c r="AR22" s="9">
        <v>0.5</v>
      </c>
      <c r="AS22" s="9">
        <v>0.21</v>
      </c>
      <c r="AT22" s="9">
        <v>0.31</v>
      </c>
      <c r="AU22" s="9">
        <v>0.71</v>
      </c>
      <c r="AV22" s="10">
        <v>0.5272995715917405</v>
      </c>
      <c r="AW22" s="9">
        <v>0.51</v>
      </c>
      <c r="AX22" s="9">
        <v>0.43</v>
      </c>
      <c r="AY22" s="9">
        <v>0.37</v>
      </c>
      <c r="AZ22" s="9">
        <v>0.53</v>
      </c>
      <c r="BA22" s="9">
        <v>0.58</v>
      </c>
      <c r="BB22" s="9">
        <v>0.6</v>
      </c>
      <c r="BC22" s="9">
        <v>0.66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5">
      <c r="A23" s="1" t="s">
        <v>9</v>
      </c>
      <c r="B23" s="1" t="s">
        <v>60</v>
      </c>
      <c r="C23" s="1" t="s">
        <v>71</v>
      </c>
      <c r="D23" s="10">
        <v>0.7109493172736326</v>
      </c>
      <c r="E23" s="9">
        <v>0.79</v>
      </c>
      <c r="F23" s="9">
        <v>0.68</v>
      </c>
      <c r="G23" s="9">
        <v>0.69</v>
      </c>
      <c r="H23" s="9">
        <v>0.53</v>
      </c>
      <c r="I23" s="9">
        <v>0.74</v>
      </c>
      <c r="J23" s="9">
        <v>0.84</v>
      </c>
      <c r="K23" s="10">
        <v>0.6178882882160722</v>
      </c>
      <c r="L23" s="9">
        <v>0.61</v>
      </c>
      <c r="M23" s="9">
        <v>0.79</v>
      </c>
      <c r="N23" s="9">
        <v>0.78</v>
      </c>
      <c r="O23" s="9">
        <v>0.29</v>
      </c>
      <c r="P23" s="10">
        <v>0.8099343248785654</v>
      </c>
      <c r="Q23" s="9">
        <v>0.8</v>
      </c>
      <c r="R23" s="9">
        <v>1</v>
      </c>
      <c r="S23" s="9">
        <v>0.63</v>
      </c>
      <c r="T23" s="10">
        <v>0.7852380897468064</v>
      </c>
      <c r="U23" s="9">
        <v>0.72</v>
      </c>
      <c r="V23" s="9">
        <v>0.9</v>
      </c>
      <c r="W23" s="9">
        <v>0.77</v>
      </c>
      <c r="X23" s="9">
        <v>0.74</v>
      </c>
      <c r="Y23" s="9">
        <v>0.8</v>
      </c>
      <c r="Z23" s="9">
        <v>0.83</v>
      </c>
      <c r="AA23" s="9">
        <v>0.81</v>
      </c>
      <c r="AB23" s="9">
        <v>0.71</v>
      </c>
      <c r="AC23" s="10">
        <v>0.4907376528401953</v>
      </c>
      <c r="AD23" s="9">
        <v>0.5</v>
      </c>
      <c r="AE23" s="9">
        <v>0.51</v>
      </c>
      <c r="AF23" s="9">
        <v>0.49</v>
      </c>
      <c r="AG23" s="9">
        <v>0.45</v>
      </c>
      <c r="AH23" s="10">
        <v>0.592062001487899</v>
      </c>
      <c r="AI23" s="9">
        <v>0.63</v>
      </c>
      <c r="AJ23" s="9">
        <v>0.67</v>
      </c>
      <c r="AK23" s="9">
        <v>0.51</v>
      </c>
      <c r="AL23" s="9">
        <v>0.45</v>
      </c>
      <c r="AM23" s="9">
        <v>0.7</v>
      </c>
      <c r="AN23" s="10">
        <v>0.6471947324489074</v>
      </c>
      <c r="AO23" s="9">
        <v>0.67</v>
      </c>
      <c r="AP23" s="9">
        <v>0.71</v>
      </c>
      <c r="AQ23" s="9">
        <v>0.71</v>
      </c>
      <c r="AR23" s="9">
        <v>0.75</v>
      </c>
      <c r="AS23" s="9">
        <v>0.26</v>
      </c>
      <c r="AT23" s="9">
        <v>0.64</v>
      </c>
      <c r="AU23" s="9">
        <v>0.79</v>
      </c>
      <c r="AV23" s="10">
        <v>0.6961090269476861</v>
      </c>
      <c r="AW23" s="9">
        <v>0.61</v>
      </c>
      <c r="AX23" s="9">
        <v>0.63</v>
      </c>
      <c r="AY23" s="9">
        <v>0.57</v>
      </c>
      <c r="AZ23" s="9">
        <v>0.75</v>
      </c>
      <c r="BA23" s="9">
        <v>0.69</v>
      </c>
      <c r="BB23" s="9">
        <v>0.85</v>
      </c>
      <c r="BC23" s="9">
        <v>0.77</v>
      </c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5">
      <c r="A24" s="1" t="s">
        <v>83</v>
      </c>
      <c r="B24" s="1" t="s">
        <v>63</v>
      </c>
      <c r="C24" s="1" t="s">
        <v>71</v>
      </c>
      <c r="D24" s="10">
        <v>0.9275161761461734</v>
      </c>
      <c r="E24" s="9">
        <v>0.91</v>
      </c>
      <c r="F24" s="9">
        <v>0.92</v>
      </c>
      <c r="G24" s="9">
        <v>0.94</v>
      </c>
      <c r="H24" s="9">
        <v>0.89</v>
      </c>
      <c r="I24" s="9">
        <v>0.95</v>
      </c>
      <c r="J24" s="9">
        <v>0.96</v>
      </c>
      <c r="K24" s="10">
        <v>0.9533835540376235</v>
      </c>
      <c r="L24" s="9">
        <v>0.94</v>
      </c>
      <c r="M24" s="9">
        <v>0.96</v>
      </c>
      <c r="N24" s="9">
        <v>0.96</v>
      </c>
      <c r="O24" s="9">
        <v>0.95</v>
      </c>
      <c r="P24" s="10">
        <v>0.9132621635355277</v>
      </c>
      <c r="Q24" s="9">
        <v>0.89</v>
      </c>
      <c r="R24" s="9">
        <v>1</v>
      </c>
      <c r="S24" s="9">
        <v>0.85</v>
      </c>
      <c r="T24" s="10">
        <v>0.9085948930954882</v>
      </c>
      <c r="U24" s="9">
        <v>0.8</v>
      </c>
      <c r="V24" s="9">
        <v>0.96</v>
      </c>
      <c r="W24" s="9">
        <v>0.91</v>
      </c>
      <c r="X24" s="9">
        <v>0.95</v>
      </c>
      <c r="Y24" s="9">
        <v>0.86</v>
      </c>
      <c r="Z24" s="9">
        <v>0.94</v>
      </c>
      <c r="AA24" s="9">
        <v>0.94</v>
      </c>
      <c r="AB24" s="9">
        <v>0.92</v>
      </c>
      <c r="AC24" s="10">
        <v>0.8243028573211892</v>
      </c>
      <c r="AD24" s="9">
        <v>0.71</v>
      </c>
      <c r="AE24" s="9">
        <v>0.93</v>
      </c>
      <c r="AF24" s="9">
        <v>0.82</v>
      </c>
      <c r="AG24" s="9">
        <v>0.84</v>
      </c>
      <c r="AH24" s="10">
        <v>0.8458005853736298</v>
      </c>
      <c r="AI24" s="9">
        <v>0.82</v>
      </c>
      <c r="AJ24" s="9">
        <v>0.91</v>
      </c>
      <c r="AK24" s="9">
        <v>0.84</v>
      </c>
      <c r="AL24" s="9">
        <v>0.82</v>
      </c>
      <c r="AM24" s="9">
        <v>0.84</v>
      </c>
      <c r="AN24" s="10">
        <v>0.7860079504814018</v>
      </c>
      <c r="AO24" s="9">
        <v>0.76</v>
      </c>
      <c r="AP24" s="9">
        <v>0.83</v>
      </c>
      <c r="AQ24" s="9">
        <v>0.94</v>
      </c>
      <c r="AR24" s="9">
        <v>0.9</v>
      </c>
      <c r="AS24" s="9">
        <v>0.51</v>
      </c>
      <c r="AT24" s="9">
        <v>0.77</v>
      </c>
      <c r="AU24" s="9">
        <v>0.79</v>
      </c>
      <c r="AV24" s="10">
        <v>0.87198480408056</v>
      </c>
      <c r="AW24" s="9">
        <v>0.91</v>
      </c>
      <c r="AX24" s="9">
        <v>0.84</v>
      </c>
      <c r="AY24" s="9">
        <v>0.77</v>
      </c>
      <c r="AZ24" s="9">
        <v>0.76</v>
      </c>
      <c r="BA24" s="9">
        <v>0.96</v>
      </c>
      <c r="BB24" s="9">
        <v>0.95</v>
      </c>
      <c r="BC24" s="9">
        <v>0.91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5">
      <c r="A25" s="1" t="s">
        <v>10</v>
      </c>
      <c r="B25" s="1" t="s">
        <v>61</v>
      </c>
      <c r="C25" s="1" t="s">
        <v>69</v>
      </c>
      <c r="D25" s="10">
        <v>0.5304203289916963</v>
      </c>
      <c r="E25" s="9">
        <v>0.61</v>
      </c>
      <c r="F25" s="9">
        <v>0.43</v>
      </c>
      <c r="G25" s="9">
        <v>0.39</v>
      </c>
      <c r="H25" s="9">
        <v>0.37</v>
      </c>
      <c r="I25" s="9">
        <v>0.72</v>
      </c>
      <c r="J25" s="9">
        <v>0.66</v>
      </c>
      <c r="K25" s="10">
        <v>0.35787500511884474</v>
      </c>
      <c r="L25" s="9">
        <v>0.42</v>
      </c>
      <c r="M25" s="9">
        <v>0.46</v>
      </c>
      <c r="N25" s="9">
        <v>0.45</v>
      </c>
      <c r="O25" s="9">
        <v>0.1</v>
      </c>
      <c r="P25" s="10">
        <v>0.600949893526049</v>
      </c>
      <c r="Q25" s="9">
        <v>0.58</v>
      </c>
      <c r="R25" s="9">
        <v>1</v>
      </c>
      <c r="S25" s="9">
        <v>0.22</v>
      </c>
      <c r="T25" s="10">
        <v>0.6715599993641814</v>
      </c>
      <c r="U25" s="9">
        <v>0.66</v>
      </c>
      <c r="V25" s="9">
        <v>0.57</v>
      </c>
      <c r="W25" s="9">
        <v>0.55</v>
      </c>
      <c r="X25" s="9">
        <v>0.73</v>
      </c>
      <c r="Y25" s="9">
        <v>0.77</v>
      </c>
      <c r="Z25" s="9">
        <v>0.56</v>
      </c>
      <c r="AA25" s="9">
        <v>0.82</v>
      </c>
      <c r="AB25" s="9">
        <v>0.71</v>
      </c>
      <c r="AC25" s="10">
        <v>0.5224536128385792</v>
      </c>
      <c r="AD25" s="9">
        <v>0.65</v>
      </c>
      <c r="AE25" s="9">
        <v>0.64</v>
      </c>
      <c r="AF25" s="9">
        <v>0.36</v>
      </c>
      <c r="AG25" s="9">
        <v>0.45</v>
      </c>
      <c r="AH25" s="10">
        <v>0.447166069630842</v>
      </c>
      <c r="AI25" s="9">
        <v>0.42</v>
      </c>
      <c r="AJ25" s="9">
        <v>0.55</v>
      </c>
      <c r="AK25" s="9">
        <v>0.41</v>
      </c>
      <c r="AL25" s="9">
        <v>0.39</v>
      </c>
      <c r="AM25" s="9">
        <v>0.47</v>
      </c>
      <c r="AN25" s="10">
        <v>0.5113724001037186</v>
      </c>
      <c r="AO25" s="9">
        <v>0.57</v>
      </c>
      <c r="AP25" s="9">
        <v>0.63</v>
      </c>
      <c r="AQ25" s="9">
        <v>0.44</v>
      </c>
      <c r="AR25" s="9">
        <v>0.48</v>
      </c>
      <c r="AS25" s="9">
        <v>0.42</v>
      </c>
      <c r="AT25" s="9">
        <v>0.4</v>
      </c>
      <c r="AU25" s="9">
        <v>0.64</v>
      </c>
      <c r="AV25" s="10">
        <v>0.47147212527304533</v>
      </c>
      <c r="AW25" s="9">
        <v>0.5</v>
      </c>
      <c r="AX25" s="9">
        <v>0.49</v>
      </c>
      <c r="AY25" s="9">
        <v>0.16</v>
      </c>
      <c r="AZ25" s="9">
        <v>0.61</v>
      </c>
      <c r="BA25" s="9">
        <v>0.44</v>
      </c>
      <c r="BB25" s="9">
        <v>0.55</v>
      </c>
      <c r="BC25" s="9">
        <v>0.55</v>
      </c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5">
      <c r="A26" s="1" t="s">
        <v>84</v>
      </c>
      <c r="B26" s="1" t="s">
        <v>61</v>
      </c>
      <c r="C26" s="1" t="s">
        <v>69</v>
      </c>
      <c r="D26" s="10">
        <v>0.4065828083819214</v>
      </c>
      <c r="E26" s="9">
        <v>0.4</v>
      </c>
      <c r="F26" s="9">
        <v>0.28</v>
      </c>
      <c r="G26" s="9">
        <v>0.38</v>
      </c>
      <c r="H26" s="9">
        <v>0.34</v>
      </c>
      <c r="I26" s="9">
        <v>0.51</v>
      </c>
      <c r="J26" s="9">
        <v>0.53</v>
      </c>
      <c r="K26" s="10">
        <v>0.4654552086247125</v>
      </c>
      <c r="L26" s="9">
        <v>0.55</v>
      </c>
      <c r="M26" s="9">
        <v>0.33</v>
      </c>
      <c r="N26" s="9">
        <v>0.61</v>
      </c>
      <c r="O26" s="9">
        <v>0.38</v>
      </c>
      <c r="P26" s="10">
        <v>0.5636565175607818</v>
      </c>
      <c r="Q26" s="9">
        <v>0.42</v>
      </c>
      <c r="R26" s="9">
        <v>1</v>
      </c>
      <c r="S26" s="9">
        <v>0.27</v>
      </c>
      <c r="T26" s="10">
        <v>0.56133509104895</v>
      </c>
      <c r="U26" s="9">
        <v>0.57</v>
      </c>
      <c r="V26" s="9">
        <v>0.66</v>
      </c>
      <c r="W26" s="9">
        <v>0.45</v>
      </c>
      <c r="X26" s="9">
        <v>0.51</v>
      </c>
      <c r="Y26" s="9">
        <v>0.61</v>
      </c>
      <c r="Z26" s="9">
        <v>0.47</v>
      </c>
      <c r="AA26" s="9">
        <v>0.6</v>
      </c>
      <c r="AB26" s="9">
        <v>0.61</v>
      </c>
      <c r="AC26" s="10">
        <v>0.37816862185525496</v>
      </c>
      <c r="AD26" s="9">
        <v>0.45</v>
      </c>
      <c r="AE26" s="9">
        <v>0.24</v>
      </c>
      <c r="AF26" s="9">
        <v>0.44</v>
      </c>
      <c r="AG26" s="9">
        <v>0.38</v>
      </c>
      <c r="AH26" s="10">
        <v>0.46235007045203547</v>
      </c>
      <c r="AI26" s="9">
        <v>0.45</v>
      </c>
      <c r="AJ26" s="9">
        <v>0.54</v>
      </c>
      <c r="AK26" s="9">
        <v>0.48</v>
      </c>
      <c r="AL26" s="9">
        <v>0.41</v>
      </c>
      <c r="AM26" s="9">
        <v>0.44</v>
      </c>
      <c r="AN26" s="10">
        <v>0.4244972771542976</v>
      </c>
      <c r="AO26" s="9">
        <v>0.57</v>
      </c>
      <c r="AP26" s="9">
        <v>0.47</v>
      </c>
      <c r="AQ26" s="9">
        <v>0.34</v>
      </c>
      <c r="AR26" s="9">
        <v>0.43</v>
      </c>
      <c r="AS26" s="9">
        <v>0.18</v>
      </c>
      <c r="AT26" s="9">
        <v>0.28</v>
      </c>
      <c r="AU26" s="9">
        <v>0.7</v>
      </c>
      <c r="AV26" s="10">
        <v>0.4364030932836788</v>
      </c>
      <c r="AW26" s="9">
        <v>0.5</v>
      </c>
      <c r="AX26" s="9">
        <v>0.49</v>
      </c>
      <c r="AY26" s="9">
        <v>0.19</v>
      </c>
      <c r="AZ26" s="9">
        <v>0.39</v>
      </c>
      <c r="BA26" s="9">
        <v>0.49</v>
      </c>
      <c r="BB26" s="9">
        <v>0.53</v>
      </c>
      <c r="BC26" s="9">
        <v>0.45</v>
      </c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5">
      <c r="A27" s="1" t="s">
        <v>85</v>
      </c>
      <c r="B27" s="1" t="s">
        <v>66</v>
      </c>
      <c r="C27" s="1" t="s">
        <v>68</v>
      </c>
      <c r="D27" s="10">
        <v>0.575560028181735</v>
      </c>
      <c r="E27" s="9">
        <v>0.66</v>
      </c>
      <c r="F27" s="9">
        <v>0.64</v>
      </c>
      <c r="G27" s="9">
        <v>0.53</v>
      </c>
      <c r="H27" s="9">
        <v>0.49</v>
      </c>
      <c r="I27" s="9">
        <v>0.6</v>
      </c>
      <c r="J27" s="9">
        <v>0.53</v>
      </c>
      <c r="K27" s="10">
        <v>0.5134657657438537</v>
      </c>
      <c r="L27" s="9">
        <v>0.55</v>
      </c>
      <c r="M27" s="9">
        <v>0.58</v>
      </c>
      <c r="N27" s="9">
        <v>0.5</v>
      </c>
      <c r="O27" s="9">
        <v>0.43</v>
      </c>
      <c r="P27" s="10">
        <v>0.6682065285736244</v>
      </c>
      <c r="Q27" s="9">
        <v>0.82</v>
      </c>
      <c r="R27" s="9">
        <v>0.92</v>
      </c>
      <c r="S27" s="9">
        <v>0.27</v>
      </c>
      <c r="T27" s="10">
        <v>0.43222602723307724</v>
      </c>
      <c r="U27" s="9">
        <v>0.47</v>
      </c>
      <c r="V27" s="9">
        <v>0.36</v>
      </c>
      <c r="W27" s="9">
        <v>0.31</v>
      </c>
      <c r="X27" s="9">
        <v>0.61</v>
      </c>
      <c r="Y27" s="9">
        <v>0.32</v>
      </c>
      <c r="Z27" s="9">
        <v>0.32</v>
      </c>
      <c r="AA27" s="9">
        <v>0.64</v>
      </c>
      <c r="AB27" s="9">
        <v>0.44</v>
      </c>
      <c r="AC27" s="10">
        <v>0.4775037911262625</v>
      </c>
      <c r="AD27" s="9">
        <v>0.55</v>
      </c>
      <c r="AE27" s="9">
        <v>0.52</v>
      </c>
      <c r="AF27" s="9">
        <v>0.53</v>
      </c>
      <c r="AG27" s="9">
        <v>0.32</v>
      </c>
      <c r="AH27" s="10">
        <v>0.4176038288143108</v>
      </c>
      <c r="AI27" s="9">
        <v>0.41</v>
      </c>
      <c r="AJ27" s="9">
        <v>0.43</v>
      </c>
      <c r="AK27" s="9">
        <v>0.28</v>
      </c>
      <c r="AL27" s="9">
        <v>0.36</v>
      </c>
      <c r="AM27" s="9">
        <v>0.62</v>
      </c>
      <c r="AN27" s="10">
        <v>0.4652763970212073</v>
      </c>
      <c r="AO27" s="9">
        <v>0.52</v>
      </c>
      <c r="AP27" s="9">
        <v>0.32</v>
      </c>
      <c r="AQ27" s="9">
        <v>0.6</v>
      </c>
      <c r="AR27" s="9">
        <v>0.64</v>
      </c>
      <c r="AS27" s="9">
        <v>0.31</v>
      </c>
      <c r="AT27" s="9">
        <v>0.28</v>
      </c>
      <c r="AU27" s="9">
        <v>0.6</v>
      </c>
      <c r="AV27" s="10">
        <v>0.4534148011917086</v>
      </c>
      <c r="AW27" s="9">
        <v>0.55</v>
      </c>
      <c r="AX27" s="9">
        <v>0.5</v>
      </c>
      <c r="AY27" s="9">
        <v>0.28</v>
      </c>
      <c r="AZ27" s="9">
        <v>0.47</v>
      </c>
      <c r="BA27" s="9">
        <v>0.53</v>
      </c>
      <c r="BB27" s="9">
        <v>0.53</v>
      </c>
      <c r="BC27" s="9">
        <v>0.31</v>
      </c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5">
      <c r="A28" s="1" t="s">
        <v>86</v>
      </c>
      <c r="B28" s="1" t="s">
        <v>61</v>
      </c>
      <c r="C28" s="1" t="s">
        <v>68</v>
      </c>
      <c r="D28" s="10">
        <v>0.4964718775404538</v>
      </c>
      <c r="E28" s="9">
        <v>0.69</v>
      </c>
      <c r="F28" s="9">
        <v>0.43</v>
      </c>
      <c r="G28" s="9">
        <v>0.3</v>
      </c>
      <c r="H28" s="9">
        <v>0.28</v>
      </c>
      <c r="I28" s="9">
        <v>0.63</v>
      </c>
      <c r="J28" s="9">
        <v>0.63</v>
      </c>
      <c r="K28" s="10">
        <v>0.45110131171743334</v>
      </c>
      <c r="L28" s="9">
        <v>0.47</v>
      </c>
      <c r="M28" s="9">
        <v>0.44</v>
      </c>
      <c r="N28" s="9">
        <v>0.63</v>
      </c>
      <c r="O28" s="9">
        <v>0.27</v>
      </c>
      <c r="P28" s="10">
        <v>0.5803002966906549</v>
      </c>
      <c r="Q28" s="9">
        <v>0.46</v>
      </c>
      <c r="R28" s="9">
        <v>1</v>
      </c>
      <c r="S28" s="9">
        <v>0.28</v>
      </c>
      <c r="T28" s="10">
        <v>0.5796778621423312</v>
      </c>
      <c r="U28" s="9">
        <v>0.54</v>
      </c>
      <c r="V28" s="9">
        <v>0.55</v>
      </c>
      <c r="W28" s="9">
        <v>0.27</v>
      </c>
      <c r="X28" s="9">
        <v>0.64</v>
      </c>
      <c r="Y28" s="9">
        <v>0.8</v>
      </c>
      <c r="Z28" s="9">
        <v>0.5</v>
      </c>
      <c r="AA28" s="9">
        <v>0.72</v>
      </c>
      <c r="AB28" s="9">
        <v>0.61</v>
      </c>
      <c r="AC28" s="10">
        <v>0.3746513959916804</v>
      </c>
      <c r="AD28" s="9">
        <v>0.49</v>
      </c>
      <c r="AE28" s="9">
        <v>0.42</v>
      </c>
      <c r="AF28" s="9">
        <v>0.39</v>
      </c>
      <c r="AG28" s="9">
        <v>0.21</v>
      </c>
      <c r="AH28" s="10">
        <v>0.5179243679541725</v>
      </c>
      <c r="AI28" s="9">
        <v>0.42</v>
      </c>
      <c r="AJ28" s="9">
        <v>0.61</v>
      </c>
      <c r="AK28" s="9">
        <v>0.56</v>
      </c>
      <c r="AL28" s="9">
        <v>0.5</v>
      </c>
      <c r="AM28" s="9">
        <v>0.49</v>
      </c>
      <c r="AN28" s="10">
        <v>0.4920833767393415</v>
      </c>
      <c r="AO28" s="9">
        <v>0.54</v>
      </c>
      <c r="AP28" s="9">
        <v>0.56</v>
      </c>
      <c r="AQ28" s="9">
        <v>0.46</v>
      </c>
      <c r="AR28" s="9">
        <v>0.51</v>
      </c>
      <c r="AS28" s="9">
        <v>0.37</v>
      </c>
      <c r="AT28" s="9">
        <v>0.42</v>
      </c>
      <c r="AU28" s="9">
        <v>0.58</v>
      </c>
      <c r="AV28" s="10">
        <v>0.24922651996829698</v>
      </c>
      <c r="AW28" s="9">
        <v>0.19</v>
      </c>
      <c r="AX28" s="9">
        <v>0.26</v>
      </c>
      <c r="AY28" s="9">
        <v>0.05</v>
      </c>
      <c r="AZ28" s="9">
        <v>0.05</v>
      </c>
      <c r="BA28" s="9">
        <v>0.47</v>
      </c>
      <c r="BB28" s="9">
        <v>0.45</v>
      </c>
      <c r="BC28" s="9">
        <v>0.27</v>
      </c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5">
      <c r="A29" s="1" t="s">
        <v>11</v>
      </c>
      <c r="B29" s="1" t="s">
        <v>60</v>
      </c>
      <c r="C29" s="1" t="s">
        <v>71</v>
      </c>
      <c r="D29" s="10">
        <v>0.794741133706259</v>
      </c>
      <c r="E29" s="9">
        <v>0.77</v>
      </c>
      <c r="F29" s="9">
        <v>0.81</v>
      </c>
      <c r="G29" s="9">
        <v>0.78</v>
      </c>
      <c r="H29" s="9">
        <v>0.78</v>
      </c>
      <c r="I29" s="9">
        <v>0.77</v>
      </c>
      <c r="J29" s="9">
        <v>0.87</v>
      </c>
      <c r="K29" s="10">
        <v>0.7734494396402283</v>
      </c>
      <c r="L29" s="9">
        <v>0.75</v>
      </c>
      <c r="M29" s="9">
        <v>0.86</v>
      </c>
      <c r="N29" s="9">
        <v>0.91</v>
      </c>
      <c r="O29" s="9">
        <v>0.58</v>
      </c>
      <c r="P29" s="10">
        <v>0.8231811859572412</v>
      </c>
      <c r="Q29" s="9">
        <v>0.79</v>
      </c>
      <c r="R29" s="9">
        <v>1</v>
      </c>
      <c r="S29" s="9">
        <v>0.68</v>
      </c>
      <c r="T29" s="10">
        <v>0.7870584978801831</v>
      </c>
      <c r="U29" s="9">
        <v>0.8</v>
      </c>
      <c r="V29" s="9">
        <v>0.88</v>
      </c>
      <c r="W29" s="9">
        <v>0.75</v>
      </c>
      <c r="X29" s="9">
        <v>0.77</v>
      </c>
      <c r="Y29" s="9">
        <v>0.83</v>
      </c>
      <c r="Z29" s="9">
        <v>0.78</v>
      </c>
      <c r="AA29" s="9">
        <v>0.78</v>
      </c>
      <c r="AB29" s="9">
        <v>0.71</v>
      </c>
      <c r="AC29" s="10">
        <v>0.7126099527232745</v>
      </c>
      <c r="AD29" s="9">
        <v>0.65</v>
      </c>
      <c r="AE29" s="9">
        <v>0.82</v>
      </c>
      <c r="AF29" s="9">
        <v>0.66</v>
      </c>
      <c r="AG29" s="9">
        <v>0.72</v>
      </c>
      <c r="AH29" s="10">
        <v>0.7278304723450295</v>
      </c>
      <c r="AI29" s="9">
        <v>0.77</v>
      </c>
      <c r="AJ29" s="9">
        <v>0.85</v>
      </c>
      <c r="AK29" s="9">
        <v>0.7</v>
      </c>
      <c r="AL29" s="9">
        <v>0.6</v>
      </c>
      <c r="AM29" s="9">
        <v>0.71</v>
      </c>
      <c r="AN29" s="10">
        <v>0.7072114029114412</v>
      </c>
      <c r="AO29" s="9">
        <v>0.63</v>
      </c>
      <c r="AP29" s="9">
        <v>0.8</v>
      </c>
      <c r="AQ29" s="9">
        <v>0.87</v>
      </c>
      <c r="AR29" s="9">
        <v>0.82</v>
      </c>
      <c r="AS29" s="9">
        <v>0.44</v>
      </c>
      <c r="AT29" s="9">
        <v>0.64</v>
      </c>
      <c r="AU29" s="9">
        <v>0.75</v>
      </c>
      <c r="AV29" s="10">
        <v>0.7481764847063863</v>
      </c>
      <c r="AW29" s="9">
        <v>0.67</v>
      </c>
      <c r="AX29" s="9">
        <v>0.69</v>
      </c>
      <c r="AY29" s="9">
        <v>0.7</v>
      </c>
      <c r="AZ29" s="9">
        <v>0.68</v>
      </c>
      <c r="BA29" s="9">
        <v>0.81</v>
      </c>
      <c r="BB29" s="9">
        <v>0.93</v>
      </c>
      <c r="BC29" s="9">
        <v>0.75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5">
      <c r="A30" s="1" t="s">
        <v>12</v>
      </c>
      <c r="B30" s="1" t="s">
        <v>65</v>
      </c>
      <c r="C30" s="1" t="s">
        <v>73</v>
      </c>
      <c r="D30" s="10">
        <v>0.36004688664712065</v>
      </c>
      <c r="E30" s="9">
        <v>0.41</v>
      </c>
      <c r="F30" s="9">
        <v>0.34</v>
      </c>
      <c r="G30" s="9">
        <v>0.39</v>
      </c>
      <c r="H30" s="9">
        <v>0.49</v>
      </c>
      <c r="I30" s="9">
        <v>0.25</v>
      </c>
      <c r="J30" s="9">
        <v>0.28</v>
      </c>
      <c r="K30" s="10">
        <v>0.43781227092312247</v>
      </c>
      <c r="L30" s="9">
        <v>0.46</v>
      </c>
      <c r="M30" s="9">
        <v>0.31</v>
      </c>
      <c r="N30" s="9">
        <v>0.49</v>
      </c>
      <c r="O30" s="9">
        <v>0.5</v>
      </c>
      <c r="P30" s="10">
        <v>0.5626429892696251</v>
      </c>
      <c r="Q30" s="9">
        <v>0.69</v>
      </c>
      <c r="R30" s="9">
        <v>0.58</v>
      </c>
      <c r="S30" s="9">
        <v>0.41</v>
      </c>
      <c r="T30" s="10">
        <v>0.4066432242185516</v>
      </c>
      <c r="U30" s="9">
        <v>0.48</v>
      </c>
      <c r="V30" s="9">
        <v>0.46</v>
      </c>
      <c r="W30" s="9">
        <v>0.41</v>
      </c>
      <c r="X30" s="9">
        <v>0.25</v>
      </c>
      <c r="Y30" s="9">
        <v>0.67</v>
      </c>
      <c r="Z30" s="9">
        <v>0.33</v>
      </c>
      <c r="AA30" s="9">
        <v>0.3</v>
      </c>
      <c r="AB30" s="9">
        <v>0.35</v>
      </c>
      <c r="AC30" s="10">
        <v>0.29361159087977967</v>
      </c>
      <c r="AD30" s="9">
        <v>0.5</v>
      </c>
      <c r="AE30" s="9">
        <v>0.14</v>
      </c>
      <c r="AF30" s="9">
        <v>0.34</v>
      </c>
      <c r="AG30" s="9">
        <v>0.2</v>
      </c>
      <c r="AH30" s="10">
        <v>0.36171651417257406</v>
      </c>
      <c r="AI30" s="9">
        <v>0.37</v>
      </c>
      <c r="AJ30" s="9">
        <v>0.51</v>
      </c>
      <c r="AK30" s="9">
        <v>0.35</v>
      </c>
      <c r="AL30" s="9">
        <v>0.15</v>
      </c>
      <c r="AM30" s="9">
        <v>0.43</v>
      </c>
      <c r="AN30" s="10">
        <v>0.4550318632821983</v>
      </c>
      <c r="AO30" s="9">
        <v>0.45</v>
      </c>
      <c r="AP30" s="9">
        <v>0.47</v>
      </c>
      <c r="AQ30" s="9">
        <v>0.35</v>
      </c>
      <c r="AR30" s="9">
        <v>0.38</v>
      </c>
      <c r="AS30" s="9">
        <v>0.41</v>
      </c>
      <c r="AT30" s="9">
        <v>0.44</v>
      </c>
      <c r="AU30" s="9">
        <v>0.68</v>
      </c>
      <c r="AV30" s="10">
        <v>0.4922209399277921</v>
      </c>
      <c r="AW30" s="9">
        <v>0.67</v>
      </c>
      <c r="AX30" s="9">
        <v>0.53</v>
      </c>
      <c r="AY30" s="9">
        <v>0.37</v>
      </c>
      <c r="AZ30" s="9">
        <v>0.58</v>
      </c>
      <c r="BA30" s="9">
        <v>0.47</v>
      </c>
      <c r="BB30" s="9">
        <v>0.43</v>
      </c>
      <c r="BC30" s="9">
        <v>0.41</v>
      </c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5">
      <c r="A31" s="1" t="s">
        <v>87</v>
      </c>
      <c r="B31" s="1" t="s">
        <v>63</v>
      </c>
      <c r="C31" s="1" t="s">
        <v>71</v>
      </c>
      <c r="D31" s="10">
        <v>0.8910935164922829</v>
      </c>
      <c r="E31" s="9">
        <v>0.88</v>
      </c>
      <c r="F31" s="9">
        <v>0.87</v>
      </c>
      <c r="G31" s="9">
        <v>0.91</v>
      </c>
      <c r="H31" s="9">
        <v>0.87</v>
      </c>
      <c r="I31" s="9">
        <v>0.88</v>
      </c>
      <c r="J31" s="9">
        <v>0.94</v>
      </c>
      <c r="K31" s="10">
        <v>0.931409059807514</v>
      </c>
      <c r="L31" s="9">
        <v>0.95</v>
      </c>
      <c r="M31" s="9">
        <v>0.97</v>
      </c>
      <c r="N31" s="9">
        <v>0.97</v>
      </c>
      <c r="O31" s="9">
        <v>0.84</v>
      </c>
      <c r="P31" s="10">
        <v>0.9166819007671845</v>
      </c>
      <c r="Q31" s="9">
        <v>0.9</v>
      </c>
      <c r="R31" s="9">
        <v>1</v>
      </c>
      <c r="S31" s="9">
        <v>0.85</v>
      </c>
      <c r="T31" s="10">
        <v>0.9004939832955481</v>
      </c>
      <c r="U31" s="9">
        <v>0.86</v>
      </c>
      <c r="V31" s="9">
        <v>0.99</v>
      </c>
      <c r="W31" s="9">
        <v>0.91</v>
      </c>
      <c r="X31" s="9">
        <v>0.88</v>
      </c>
      <c r="Y31" s="9">
        <v>0.81</v>
      </c>
      <c r="Z31" s="9">
        <v>1</v>
      </c>
      <c r="AA31" s="9">
        <v>0.9</v>
      </c>
      <c r="AB31" s="9">
        <v>0.86</v>
      </c>
      <c r="AC31" s="10">
        <v>0.8384236424630362</v>
      </c>
      <c r="AD31" s="9">
        <v>0.72</v>
      </c>
      <c r="AE31" s="9">
        <v>0.97</v>
      </c>
      <c r="AF31" s="9">
        <v>0.77</v>
      </c>
      <c r="AG31" s="9">
        <v>0.89</v>
      </c>
      <c r="AH31" s="10">
        <v>0.8211834504008089</v>
      </c>
      <c r="AI31" s="9">
        <v>0.75</v>
      </c>
      <c r="AJ31" s="9">
        <v>0.88</v>
      </c>
      <c r="AK31" s="9">
        <v>0.86</v>
      </c>
      <c r="AL31" s="9">
        <v>0.84</v>
      </c>
      <c r="AM31" s="9">
        <v>0.76</v>
      </c>
      <c r="AN31" s="10">
        <v>0.7884438672411129</v>
      </c>
      <c r="AO31" s="9">
        <v>0.69</v>
      </c>
      <c r="AP31" s="9">
        <v>0.96</v>
      </c>
      <c r="AQ31" s="9">
        <v>0.92</v>
      </c>
      <c r="AR31" s="9">
        <v>0.82</v>
      </c>
      <c r="AS31" s="9">
        <v>0.6</v>
      </c>
      <c r="AT31" s="9">
        <v>0.82</v>
      </c>
      <c r="AU31" s="9">
        <v>0.71</v>
      </c>
      <c r="AV31" s="10">
        <v>0.8673984611327</v>
      </c>
      <c r="AW31" s="9">
        <v>0.9</v>
      </c>
      <c r="AX31" s="9">
        <v>0.81</v>
      </c>
      <c r="AY31" s="9">
        <v>0.78</v>
      </c>
      <c r="AZ31" s="9">
        <v>0.8</v>
      </c>
      <c r="BA31" s="9">
        <v>0.92</v>
      </c>
      <c r="BB31" s="9">
        <v>0.94</v>
      </c>
      <c r="BC31" s="9">
        <v>0.91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5">
      <c r="A32" s="1" t="s">
        <v>13</v>
      </c>
      <c r="B32" s="1" t="s">
        <v>63</v>
      </c>
      <c r="C32" s="1" t="s">
        <v>71</v>
      </c>
      <c r="D32" s="10">
        <v>0.79733592234827</v>
      </c>
      <c r="E32" s="9">
        <v>0.81</v>
      </c>
      <c r="F32" s="9">
        <v>0.75</v>
      </c>
      <c r="G32" s="9">
        <v>0.7</v>
      </c>
      <c r="H32" s="9">
        <v>0.71</v>
      </c>
      <c r="I32" s="9">
        <v>0.83</v>
      </c>
      <c r="J32" s="9">
        <v>0.98</v>
      </c>
      <c r="K32" s="10">
        <v>0.8020055626475493</v>
      </c>
      <c r="L32" s="9">
        <v>0.79</v>
      </c>
      <c r="M32" s="9">
        <v>0.84</v>
      </c>
      <c r="N32" s="9">
        <v>0.9</v>
      </c>
      <c r="O32" s="9">
        <v>0.68</v>
      </c>
      <c r="P32" s="10">
        <v>0.8409906780271248</v>
      </c>
      <c r="Q32" s="9">
        <v>0.87</v>
      </c>
      <c r="R32" s="9">
        <v>1</v>
      </c>
      <c r="S32" s="9">
        <v>0.65</v>
      </c>
      <c r="T32" s="10">
        <v>0.785764826215241</v>
      </c>
      <c r="U32" s="9">
        <v>0.69</v>
      </c>
      <c r="V32" s="9">
        <v>0.79</v>
      </c>
      <c r="W32" s="9">
        <v>0.74</v>
      </c>
      <c r="X32" s="9">
        <v>0.83</v>
      </c>
      <c r="Y32" s="9">
        <v>0.83</v>
      </c>
      <c r="Z32" s="9">
        <v>0.68</v>
      </c>
      <c r="AA32" s="9">
        <v>0.97</v>
      </c>
      <c r="AB32" s="9">
        <v>0.76</v>
      </c>
      <c r="AC32" s="10">
        <v>0.751371940026249</v>
      </c>
      <c r="AD32" s="9">
        <v>0.74</v>
      </c>
      <c r="AE32" s="9">
        <v>0.65</v>
      </c>
      <c r="AF32" s="9">
        <v>0.87</v>
      </c>
      <c r="AG32" s="9">
        <v>0.75</v>
      </c>
      <c r="AH32" s="10">
        <v>0.7621882164833197</v>
      </c>
      <c r="AI32" s="9">
        <v>0.72</v>
      </c>
      <c r="AJ32" s="9">
        <v>0.83</v>
      </c>
      <c r="AK32" s="9">
        <v>0.76</v>
      </c>
      <c r="AL32" s="9">
        <v>0.75</v>
      </c>
      <c r="AM32" s="9">
        <v>0.75</v>
      </c>
      <c r="AN32" s="10">
        <v>0.6835790649691267</v>
      </c>
      <c r="AO32" s="9">
        <v>0.66</v>
      </c>
      <c r="AP32" s="9">
        <v>0.68</v>
      </c>
      <c r="AQ32" s="9">
        <v>0.79</v>
      </c>
      <c r="AR32" s="9">
        <v>0.71</v>
      </c>
      <c r="AS32" s="9">
        <v>0.57</v>
      </c>
      <c r="AT32" s="9">
        <v>0.65</v>
      </c>
      <c r="AU32" s="9">
        <v>0.73</v>
      </c>
      <c r="AV32" s="10">
        <v>0.6878025792859387</v>
      </c>
      <c r="AW32" s="9">
        <v>0.54</v>
      </c>
      <c r="AX32" s="9">
        <v>0.65</v>
      </c>
      <c r="AY32" s="9">
        <v>0.49</v>
      </c>
      <c r="AZ32" s="9">
        <v>0.77</v>
      </c>
      <c r="BA32" s="9">
        <v>0.84</v>
      </c>
      <c r="BB32" s="9">
        <v>0.78</v>
      </c>
      <c r="BC32" s="9">
        <v>0.74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5">
      <c r="A33" s="1" t="s">
        <v>88</v>
      </c>
      <c r="B33" s="1" t="s">
        <v>60</v>
      </c>
      <c r="C33" s="1" t="s">
        <v>68</v>
      </c>
      <c r="D33" s="10">
        <v>0.48366270594596505</v>
      </c>
      <c r="E33" s="9">
        <v>0.49</v>
      </c>
      <c r="F33" s="9">
        <v>0.38</v>
      </c>
      <c r="G33" s="9">
        <v>0.43</v>
      </c>
      <c r="H33" s="9">
        <v>0.59</v>
      </c>
      <c r="I33" s="9">
        <v>0.58</v>
      </c>
      <c r="J33" s="9">
        <v>0.44</v>
      </c>
      <c r="K33" s="10">
        <v>0.7687037533123615</v>
      </c>
      <c r="L33" s="9">
        <v>0.76</v>
      </c>
      <c r="M33" s="9">
        <v>0.64</v>
      </c>
      <c r="N33" s="9">
        <v>0.98</v>
      </c>
      <c r="O33" s="9">
        <v>0.7</v>
      </c>
      <c r="P33" s="10">
        <v>0.8393216481484281</v>
      </c>
      <c r="Q33" s="9">
        <v>0.98</v>
      </c>
      <c r="R33" s="9">
        <v>0.83</v>
      </c>
      <c r="S33" s="9">
        <v>0.7</v>
      </c>
      <c r="T33" s="10">
        <v>0.6058287779126825</v>
      </c>
      <c r="U33" s="9">
        <v>0.77</v>
      </c>
      <c r="V33" s="9">
        <v>0.66</v>
      </c>
      <c r="W33" s="9">
        <v>0.56</v>
      </c>
      <c r="X33" s="9">
        <v>0.58</v>
      </c>
      <c r="Y33" s="9">
        <v>0.68</v>
      </c>
      <c r="Z33" s="9">
        <v>0.38</v>
      </c>
      <c r="AA33" s="9">
        <v>0.6</v>
      </c>
      <c r="AB33" s="9">
        <v>0.63</v>
      </c>
      <c r="AC33" s="10">
        <v>0.46525804017238337</v>
      </c>
      <c r="AD33" s="9">
        <v>0.57</v>
      </c>
      <c r="AE33" s="9">
        <v>0.45</v>
      </c>
      <c r="AF33" s="9">
        <v>0.35</v>
      </c>
      <c r="AG33" s="9">
        <v>0.49</v>
      </c>
      <c r="AH33" s="10">
        <v>0.6320956860059256</v>
      </c>
      <c r="AI33" s="9">
        <v>0.61</v>
      </c>
      <c r="AJ33" s="9">
        <v>0.88</v>
      </c>
      <c r="AK33" s="9">
        <v>0.66</v>
      </c>
      <c r="AL33" s="9">
        <v>0.59</v>
      </c>
      <c r="AM33" s="9">
        <v>0.42</v>
      </c>
      <c r="AN33" s="10">
        <v>0.6140106958189212</v>
      </c>
      <c r="AO33" s="9">
        <v>0.74</v>
      </c>
      <c r="AP33" s="9">
        <v>0.58</v>
      </c>
      <c r="AQ33" s="9">
        <v>0.61</v>
      </c>
      <c r="AR33" s="9">
        <v>0.4</v>
      </c>
      <c r="AS33" s="9">
        <v>0.61</v>
      </c>
      <c r="AT33" s="9">
        <v>0.65</v>
      </c>
      <c r="AU33" s="9">
        <v>0.71</v>
      </c>
      <c r="AV33" s="10">
        <v>0.6572590863008466</v>
      </c>
      <c r="AW33" s="9">
        <v>0.79</v>
      </c>
      <c r="AX33" s="9">
        <v>0.67</v>
      </c>
      <c r="AY33" s="9">
        <v>0.56</v>
      </c>
      <c r="AZ33" s="9">
        <v>0.9</v>
      </c>
      <c r="BA33" s="9">
        <v>0.82</v>
      </c>
      <c r="BB33" s="9">
        <v>0.3</v>
      </c>
      <c r="BC33" s="9">
        <v>0.56</v>
      </c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5">
      <c r="A34" s="1" t="s">
        <v>14</v>
      </c>
      <c r="B34" s="1" t="s">
        <v>63</v>
      </c>
      <c r="C34" s="1" t="s">
        <v>71</v>
      </c>
      <c r="D34" s="10">
        <v>0.820533675870473</v>
      </c>
      <c r="E34" s="9">
        <v>0.86</v>
      </c>
      <c r="F34" s="9">
        <v>0.82</v>
      </c>
      <c r="G34" s="9">
        <v>0.76</v>
      </c>
      <c r="H34" s="9">
        <v>0.76</v>
      </c>
      <c r="I34" s="9">
        <v>0.8</v>
      </c>
      <c r="J34" s="9">
        <v>0.92</v>
      </c>
      <c r="K34" s="10">
        <v>0.8202622534281774</v>
      </c>
      <c r="L34" s="9">
        <v>0.83</v>
      </c>
      <c r="M34" s="9">
        <v>0.92</v>
      </c>
      <c r="N34" s="9">
        <v>0.88</v>
      </c>
      <c r="O34" s="9">
        <v>0.66</v>
      </c>
      <c r="P34" s="10">
        <v>0.862647537664825</v>
      </c>
      <c r="Q34" s="9">
        <v>0.88</v>
      </c>
      <c r="R34" s="9">
        <v>1</v>
      </c>
      <c r="S34" s="9">
        <v>0.7</v>
      </c>
      <c r="T34" s="10">
        <v>0.8040731975716934</v>
      </c>
      <c r="U34" s="9">
        <v>0.77</v>
      </c>
      <c r="V34" s="9">
        <v>0.89</v>
      </c>
      <c r="W34" s="9">
        <v>0.77</v>
      </c>
      <c r="X34" s="9">
        <v>0.8</v>
      </c>
      <c r="Y34" s="9">
        <v>0.81</v>
      </c>
      <c r="Z34" s="9">
        <v>0.78</v>
      </c>
      <c r="AA34" s="9">
        <v>0.81</v>
      </c>
      <c r="AB34" s="9">
        <v>0.79</v>
      </c>
      <c r="AC34" s="10">
        <v>0.7285988868102709</v>
      </c>
      <c r="AD34" s="9">
        <v>0.65</v>
      </c>
      <c r="AE34" s="9">
        <v>0.88</v>
      </c>
      <c r="AF34" s="9">
        <v>0.72</v>
      </c>
      <c r="AG34" s="9">
        <v>0.66</v>
      </c>
      <c r="AH34" s="10">
        <v>0.7315180821199563</v>
      </c>
      <c r="AI34" s="9">
        <v>0.69</v>
      </c>
      <c r="AJ34" s="9">
        <v>0.77</v>
      </c>
      <c r="AK34" s="9">
        <v>0.59</v>
      </c>
      <c r="AL34" s="9">
        <v>0.81</v>
      </c>
      <c r="AM34" s="9">
        <v>0.8</v>
      </c>
      <c r="AN34" s="10">
        <v>0.7999799850483367</v>
      </c>
      <c r="AO34" s="9">
        <v>0.71</v>
      </c>
      <c r="AP34" s="9">
        <v>0.87</v>
      </c>
      <c r="AQ34" s="9">
        <v>0.85</v>
      </c>
      <c r="AR34" s="9">
        <v>0.83</v>
      </c>
      <c r="AS34" s="9">
        <v>0.68</v>
      </c>
      <c r="AT34" s="9">
        <v>0.87</v>
      </c>
      <c r="AU34" s="9">
        <v>0.78</v>
      </c>
      <c r="AV34" s="10">
        <v>0.7607916878682757</v>
      </c>
      <c r="AW34" s="9">
        <v>0.76</v>
      </c>
      <c r="AX34" s="9">
        <v>0.73</v>
      </c>
      <c r="AY34" s="9">
        <v>0.69</v>
      </c>
      <c r="AZ34" s="9">
        <v>0.69</v>
      </c>
      <c r="BA34" s="9">
        <v>0.83</v>
      </c>
      <c r="BB34" s="9">
        <v>0.85</v>
      </c>
      <c r="BC34" s="9">
        <v>0.77</v>
      </c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5">
      <c r="A35" s="1" t="s">
        <v>15</v>
      </c>
      <c r="B35" s="1" t="s">
        <v>65</v>
      </c>
      <c r="C35" s="1" t="s">
        <v>73</v>
      </c>
      <c r="D35" s="10">
        <v>0.7242105836901066</v>
      </c>
      <c r="E35" s="9">
        <v>0.84</v>
      </c>
      <c r="F35" s="9">
        <v>0.7</v>
      </c>
      <c r="G35" s="9">
        <v>0.52</v>
      </c>
      <c r="H35" s="9">
        <v>0.55</v>
      </c>
      <c r="I35" s="9">
        <v>0.85</v>
      </c>
      <c r="J35" s="9">
        <v>0.88</v>
      </c>
      <c r="K35" s="10">
        <v>0.4472985058478207</v>
      </c>
      <c r="L35" s="9">
        <v>0.45</v>
      </c>
      <c r="M35" s="9">
        <v>0.64</v>
      </c>
      <c r="N35" s="9">
        <v>0.27</v>
      </c>
      <c r="O35" s="9">
        <v>0.43</v>
      </c>
      <c r="P35" s="10">
        <v>0.6797464041605868</v>
      </c>
      <c r="Q35" s="9">
        <v>0.77</v>
      </c>
      <c r="R35" s="9">
        <v>1</v>
      </c>
      <c r="S35" s="9">
        <v>0.27</v>
      </c>
      <c r="T35" s="10">
        <v>0.7185210244586134</v>
      </c>
      <c r="U35" s="9">
        <v>0.72</v>
      </c>
      <c r="V35" s="9">
        <v>0.63</v>
      </c>
      <c r="W35" s="9">
        <v>0.48</v>
      </c>
      <c r="X35" s="9">
        <v>0.85</v>
      </c>
      <c r="Y35" s="9">
        <v>0.82</v>
      </c>
      <c r="Z35" s="9">
        <v>0.63</v>
      </c>
      <c r="AA35" s="9">
        <v>0.95</v>
      </c>
      <c r="AB35" s="9">
        <v>0.67</v>
      </c>
      <c r="AC35" s="10">
        <v>0.553457871207547</v>
      </c>
      <c r="AD35" s="9">
        <v>0.44</v>
      </c>
      <c r="AE35" s="9">
        <v>0.62</v>
      </c>
      <c r="AF35" s="9">
        <v>0.7</v>
      </c>
      <c r="AG35" s="9">
        <v>0.45</v>
      </c>
      <c r="AH35" s="10">
        <v>0.5216159688213062</v>
      </c>
      <c r="AI35" s="9">
        <v>0.52</v>
      </c>
      <c r="AJ35" s="9">
        <v>0.52</v>
      </c>
      <c r="AK35" s="9">
        <v>0.52</v>
      </c>
      <c r="AL35" s="9">
        <v>0.38</v>
      </c>
      <c r="AM35" s="9">
        <v>0.67</v>
      </c>
      <c r="AN35" s="10">
        <v>0.6050859016342199</v>
      </c>
      <c r="AO35" s="9">
        <v>0.61</v>
      </c>
      <c r="AP35" s="9">
        <v>0.7</v>
      </c>
      <c r="AQ35" s="9">
        <v>0.63</v>
      </c>
      <c r="AR35" s="9">
        <v>0.69</v>
      </c>
      <c r="AS35" s="9">
        <v>0.36</v>
      </c>
      <c r="AT35" s="9">
        <v>0.47</v>
      </c>
      <c r="AU35" s="9">
        <v>0.77</v>
      </c>
      <c r="AV35" s="10">
        <v>0.449112235619981</v>
      </c>
      <c r="AW35" s="9">
        <v>0.36</v>
      </c>
      <c r="AX35" s="9">
        <v>0.31</v>
      </c>
      <c r="AY35" s="9">
        <v>0.35</v>
      </c>
      <c r="AZ35" s="9">
        <v>0.5</v>
      </c>
      <c r="BA35" s="9">
        <v>0.43</v>
      </c>
      <c r="BB35" s="9">
        <v>0.7</v>
      </c>
      <c r="BC35" s="9">
        <v>0.48</v>
      </c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5">
      <c r="A36" s="1" t="s">
        <v>89</v>
      </c>
      <c r="B36" s="1" t="s">
        <v>63</v>
      </c>
      <c r="C36" s="1" t="s">
        <v>71</v>
      </c>
      <c r="D36" s="10">
        <v>0.6414802718456681</v>
      </c>
      <c r="E36" s="9">
        <v>0.66</v>
      </c>
      <c r="F36" s="9">
        <v>0.58</v>
      </c>
      <c r="G36" s="9">
        <v>0.58</v>
      </c>
      <c r="H36" s="9">
        <v>0.44</v>
      </c>
      <c r="I36" s="9">
        <v>0.73</v>
      </c>
      <c r="J36" s="9">
        <v>0.86</v>
      </c>
      <c r="K36" s="10">
        <v>0.5634485078052034</v>
      </c>
      <c r="L36" s="9">
        <v>0.48</v>
      </c>
      <c r="M36" s="9">
        <v>0.71</v>
      </c>
      <c r="N36" s="9">
        <v>0.77</v>
      </c>
      <c r="O36" s="9">
        <v>0.29</v>
      </c>
      <c r="P36" s="10">
        <v>0.7321554984981975</v>
      </c>
      <c r="Q36" s="9">
        <v>0.79</v>
      </c>
      <c r="R36" s="9">
        <v>1</v>
      </c>
      <c r="S36" s="9">
        <v>0.41</v>
      </c>
      <c r="T36" s="10">
        <v>0.7186466933522754</v>
      </c>
      <c r="U36" s="9">
        <v>0.66</v>
      </c>
      <c r="V36" s="9">
        <v>0.8</v>
      </c>
      <c r="W36" s="9">
        <v>0.53</v>
      </c>
      <c r="X36" s="9">
        <v>0.74</v>
      </c>
      <c r="Y36" s="9">
        <v>0.75</v>
      </c>
      <c r="Z36" s="9">
        <v>0.82</v>
      </c>
      <c r="AA36" s="9">
        <v>0.79</v>
      </c>
      <c r="AB36" s="9">
        <v>0.66</v>
      </c>
      <c r="AC36" s="10">
        <v>0.5080636409489357</v>
      </c>
      <c r="AD36" s="9">
        <v>0.39</v>
      </c>
      <c r="AE36" s="9">
        <v>0.54</v>
      </c>
      <c r="AF36" s="9">
        <v>0.41</v>
      </c>
      <c r="AG36" s="9">
        <v>0.7</v>
      </c>
      <c r="AH36" s="10">
        <v>0.5403383824326294</v>
      </c>
      <c r="AI36" s="9">
        <v>0.52</v>
      </c>
      <c r="AJ36" s="9">
        <v>0.41</v>
      </c>
      <c r="AK36" s="9">
        <v>0.55</v>
      </c>
      <c r="AL36" s="9">
        <v>0.58</v>
      </c>
      <c r="AM36" s="9">
        <v>0.64</v>
      </c>
      <c r="AN36" s="10">
        <v>0.6141179238516173</v>
      </c>
      <c r="AO36" s="9">
        <v>0.7</v>
      </c>
      <c r="AP36" s="9">
        <v>0.78</v>
      </c>
      <c r="AQ36" s="9">
        <v>0.69</v>
      </c>
      <c r="AR36" s="9">
        <v>0.67</v>
      </c>
      <c r="AS36" s="9">
        <v>0.22</v>
      </c>
      <c r="AT36" s="9">
        <v>0.47</v>
      </c>
      <c r="AU36" s="9">
        <v>0.78</v>
      </c>
      <c r="AV36" s="10">
        <v>0.5028985236211313</v>
      </c>
      <c r="AW36" s="9">
        <v>0.56</v>
      </c>
      <c r="AX36" s="9">
        <v>0.46</v>
      </c>
      <c r="AY36" s="9">
        <v>0.22</v>
      </c>
      <c r="AZ36" s="9">
        <v>0.37</v>
      </c>
      <c r="BA36" s="9">
        <v>0.65</v>
      </c>
      <c r="BB36" s="9">
        <v>0.74</v>
      </c>
      <c r="BC36" s="9">
        <v>0.53</v>
      </c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5">
      <c r="A37" s="1" t="s">
        <v>16</v>
      </c>
      <c r="B37" s="1" t="s">
        <v>61</v>
      </c>
      <c r="C37" s="1" t="s">
        <v>68</v>
      </c>
      <c r="D37" s="10">
        <v>0.5244006778666729</v>
      </c>
      <c r="E37" s="9">
        <v>0.61</v>
      </c>
      <c r="F37" s="9">
        <v>0.43</v>
      </c>
      <c r="G37" s="9">
        <v>0.42</v>
      </c>
      <c r="H37" s="9">
        <v>0.26</v>
      </c>
      <c r="I37" s="9">
        <v>0.66</v>
      </c>
      <c r="J37" s="9">
        <v>0.76</v>
      </c>
      <c r="K37" s="10">
        <v>0.2924890209332174</v>
      </c>
      <c r="L37" s="9">
        <v>0.39</v>
      </c>
      <c r="M37" s="9">
        <v>0.28</v>
      </c>
      <c r="N37" s="9">
        <v>0.4</v>
      </c>
      <c r="O37" s="9">
        <v>0.11</v>
      </c>
      <c r="P37" s="10">
        <v>0.5865651307356087</v>
      </c>
      <c r="Q37" s="9">
        <v>0.43</v>
      </c>
      <c r="R37" s="9">
        <v>1</v>
      </c>
      <c r="S37" s="9">
        <v>0.33</v>
      </c>
      <c r="T37" s="10">
        <v>0.5918964750950072</v>
      </c>
      <c r="U37" s="9">
        <v>0.43</v>
      </c>
      <c r="V37" s="9">
        <v>0.59</v>
      </c>
      <c r="W37" s="9">
        <v>0.47</v>
      </c>
      <c r="X37" s="9">
        <v>0.67</v>
      </c>
      <c r="Y37" s="9">
        <v>0.72</v>
      </c>
      <c r="Z37" s="9">
        <v>0.7</v>
      </c>
      <c r="AA37" s="9">
        <v>0.69</v>
      </c>
      <c r="AB37" s="9">
        <v>0.47</v>
      </c>
      <c r="AC37" s="10">
        <v>0.4602820279819032</v>
      </c>
      <c r="AD37" s="9">
        <v>0.4</v>
      </c>
      <c r="AE37" s="9">
        <v>0.55</v>
      </c>
      <c r="AF37" s="9">
        <v>0.47</v>
      </c>
      <c r="AG37" s="9">
        <v>0.41</v>
      </c>
      <c r="AH37" s="10">
        <v>0.43363866178256333</v>
      </c>
      <c r="AI37" s="9">
        <v>0.41</v>
      </c>
      <c r="AJ37" s="9">
        <v>0.48</v>
      </c>
      <c r="AK37" s="9">
        <v>0.35</v>
      </c>
      <c r="AL37" s="9">
        <v>0.46</v>
      </c>
      <c r="AM37" s="9">
        <v>0.48</v>
      </c>
      <c r="AN37" s="10">
        <v>0.4083093802045674</v>
      </c>
      <c r="AO37" s="9">
        <v>0.41</v>
      </c>
      <c r="AP37" s="9">
        <v>0.51</v>
      </c>
      <c r="AQ37" s="9">
        <v>0.3</v>
      </c>
      <c r="AR37" s="9">
        <v>0.53</v>
      </c>
      <c r="AS37" s="9">
        <v>0.21</v>
      </c>
      <c r="AT37" s="9">
        <v>0.25</v>
      </c>
      <c r="AU37" s="9">
        <v>0.64</v>
      </c>
      <c r="AV37" s="10">
        <v>0.3740005777296149</v>
      </c>
      <c r="AW37" s="9">
        <v>0.37</v>
      </c>
      <c r="AX37" s="9">
        <v>0.3</v>
      </c>
      <c r="AY37" s="9">
        <v>0.15</v>
      </c>
      <c r="AZ37" s="9">
        <v>0.44</v>
      </c>
      <c r="BA37" s="9">
        <v>0.28</v>
      </c>
      <c r="BB37" s="9">
        <v>0.61</v>
      </c>
      <c r="BC37" s="9">
        <v>0.47</v>
      </c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5">
      <c r="A38" s="1" t="s">
        <v>51</v>
      </c>
      <c r="B38" s="1" t="s">
        <v>62</v>
      </c>
      <c r="C38" s="1" t="s">
        <v>71</v>
      </c>
      <c r="D38" s="10">
        <v>0.72716411951602</v>
      </c>
      <c r="E38" s="9">
        <v>0.89</v>
      </c>
      <c r="F38" s="9">
        <v>0.82</v>
      </c>
      <c r="G38" s="9">
        <v>0.74</v>
      </c>
      <c r="H38" s="9">
        <v>0.76</v>
      </c>
      <c r="I38" s="9">
        <v>0.5</v>
      </c>
      <c r="J38" s="9">
        <v>0.64</v>
      </c>
      <c r="K38" s="10">
        <v>0.8920613637972921</v>
      </c>
      <c r="L38" s="9">
        <v>0.85</v>
      </c>
      <c r="M38" s="9">
        <v>0.93</v>
      </c>
      <c r="N38" s="9">
        <v>0.9</v>
      </c>
      <c r="O38" s="9">
        <v>0.88</v>
      </c>
      <c r="P38" s="10">
        <v>0.9268192419007403</v>
      </c>
      <c r="Q38" s="9">
        <v>0.98</v>
      </c>
      <c r="R38" s="9">
        <v>1</v>
      </c>
      <c r="S38" s="9">
        <v>0.8</v>
      </c>
      <c r="T38" s="10">
        <v>0.7054862319352159</v>
      </c>
      <c r="U38" s="9">
        <v>0.72</v>
      </c>
      <c r="V38" s="9">
        <v>0.83</v>
      </c>
      <c r="W38" s="9">
        <v>0.78</v>
      </c>
      <c r="X38" s="9">
        <v>0.51</v>
      </c>
      <c r="Y38" s="9">
        <v>0.69</v>
      </c>
      <c r="Z38" s="9">
        <v>0.77</v>
      </c>
      <c r="AA38" s="9">
        <v>0.56</v>
      </c>
      <c r="AB38" s="9">
        <v>0.79</v>
      </c>
      <c r="AC38" s="10">
        <v>0.8154772527261589</v>
      </c>
      <c r="AD38" s="9">
        <v>0.85</v>
      </c>
      <c r="AE38" s="9">
        <v>0.93</v>
      </c>
      <c r="AF38" s="9">
        <v>0.57</v>
      </c>
      <c r="AG38" s="9">
        <v>0.91</v>
      </c>
      <c r="AH38" s="10">
        <v>0.7506565232135666</v>
      </c>
      <c r="AI38" s="9">
        <v>0.55</v>
      </c>
      <c r="AJ38" s="9">
        <v>0.81</v>
      </c>
      <c r="AK38" s="9">
        <v>0.89</v>
      </c>
      <c r="AL38" s="9">
        <v>0.85</v>
      </c>
      <c r="AM38" s="9">
        <v>0.65</v>
      </c>
      <c r="AN38" s="10">
        <v>0.7055418715117894</v>
      </c>
      <c r="AO38" s="9">
        <v>0.73</v>
      </c>
      <c r="AP38" s="9">
        <v>0.76</v>
      </c>
      <c r="AQ38" s="9">
        <v>0.88</v>
      </c>
      <c r="AR38" s="9">
        <v>0.53</v>
      </c>
      <c r="AS38" s="9">
        <v>0.62</v>
      </c>
      <c r="AT38" s="9">
        <v>0.66</v>
      </c>
      <c r="AU38" s="9">
        <v>0.76</v>
      </c>
      <c r="AV38" s="10">
        <v>0.7609642727342132</v>
      </c>
      <c r="AW38" s="9">
        <v>0.88</v>
      </c>
      <c r="AX38" s="9">
        <v>0.81</v>
      </c>
      <c r="AY38" s="9">
        <v>0.71</v>
      </c>
      <c r="AZ38" s="9">
        <v>0.75</v>
      </c>
      <c r="BA38" s="9">
        <v>0.85</v>
      </c>
      <c r="BB38" s="9">
        <v>0.55</v>
      </c>
      <c r="BC38" s="9">
        <v>0.78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5">
      <c r="A39" s="1" t="s">
        <v>90</v>
      </c>
      <c r="B39" s="1" t="s">
        <v>60</v>
      </c>
      <c r="C39" s="1" t="s">
        <v>71</v>
      </c>
      <c r="D39" s="10">
        <v>0.6288834474157275</v>
      </c>
      <c r="E39" s="9">
        <v>0.59</v>
      </c>
      <c r="F39" s="9">
        <v>0.64</v>
      </c>
      <c r="G39" s="9">
        <v>0.42</v>
      </c>
      <c r="H39" s="9">
        <v>0.57</v>
      </c>
      <c r="I39" s="9">
        <v>0.71</v>
      </c>
      <c r="J39" s="9">
        <v>0.83</v>
      </c>
      <c r="K39" s="10">
        <v>0.722214123223442</v>
      </c>
      <c r="L39" s="9">
        <v>0.66</v>
      </c>
      <c r="M39" s="9">
        <v>0.82</v>
      </c>
      <c r="N39" s="9">
        <v>0.86</v>
      </c>
      <c r="O39" s="9">
        <v>0.55</v>
      </c>
      <c r="P39" s="10">
        <v>0.829983746625805</v>
      </c>
      <c r="Q39" s="9">
        <v>0.8</v>
      </c>
      <c r="R39" s="9">
        <v>1</v>
      </c>
      <c r="S39" s="9">
        <v>0.69</v>
      </c>
      <c r="T39" s="10">
        <v>0.716361735984151</v>
      </c>
      <c r="U39" s="9">
        <v>0.61</v>
      </c>
      <c r="V39" s="9">
        <v>0.83</v>
      </c>
      <c r="W39" s="9">
        <v>0.61</v>
      </c>
      <c r="X39" s="9">
        <v>0.72</v>
      </c>
      <c r="Y39" s="9">
        <v>0.59</v>
      </c>
      <c r="Z39" s="9">
        <v>0.79</v>
      </c>
      <c r="AA39" s="9">
        <v>0.76</v>
      </c>
      <c r="AB39" s="9">
        <v>0.82</v>
      </c>
      <c r="AC39" s="10">
        <v>0.5183176625603141</v>
      </c>
      <c r="AD39" s="9">
        <v>0.63</v>
      </c>
      <c r="AE39" s="9">
        <v>0.46</v>
      </c>
      <c r="AF39" s="9">
        <v>0.54</v>
      </c>
      <c r="AG39" s="9">
        <v>0.45</v>
      </c>
      <c r="AH39" s="10">
        <v>0.5961879347769905</v>
      </c>
      <c r="AI39" s="9">
        <v>0.7</v>
      </c>
      <c r="AJ39" s="9">
        <v>0.73</v>
      </c>
      <c r="AK39" s="9">
        <v>0.42</v>
      </c>
      <c r="AL39" s="9">
        <v>0.56</v>
      </c>
      <c r="AM39" s="9">
        <v>0.57</v>
      </c>
      <c r="AN39" s="10">
        <v>0.5508206756645793</v>
      </c>
      <c r="AO39" s="9">
        <v>0.56</v>
      </c>
      <c r="AP39" s="9">
        <v>0.44</v>
      </c>
      <c r="AQ39" s="9">
        <v>0.87</v>
      </c>
      <c r="AR39" s="9">
        <v>0.67</v>
      </c>
      <c r="AS39" s="9">
        <v>0.31</v>
      </c>
      <c r="AT39" s="9">
        <v>0.32</v>
      </c>
      <c r="AU39" s="9">
        <v>0.68</v>
      </c>
      <c r="AV39" s="10">
        <v>0.6389485872045709</v>
      </c>
      <c r="AW39" s="9">
        <v>0.76</v>
      </c>
      <c r="AX39" s="9">
        <v>0.58</v>
      </c>
      <c r="AY39" s="9">
        <v>0.46</v>
      </c>
      <c r="AZ39" s="9">
        <v>0.48</v>
      </c>
      <c r="BA39" s="9">
        <v>0.84</v>
      </c>
      <c r="BB39" s="9">
        <v>0.75</v>
      </c>
      <c r="BC39" s="9">
        <v>0.61</v>
      </c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5">
      <c r="A40" s="1" t="s">
        <v>91</v>
      </c>
      <c r="B40" s="1" t="s">
        <v>64</v>
      </c>
      <c r="C40" s="1" t="s">
        <v>68</v>
      </c>
      <c r="D40" s="10">
        <v>0.6091414532405595</v>
      </c>
      <c r="E40" s="9">
        <v>0.71</v>
      </c>
      <c r="F40" s="9">
        <v>0.67</v>
      </c>
      <c r="G40" s="9">
        <v>0.49</v>
      </c>
      <c r="H40" s="9">
        <v>0.36</v>
      </c>
      <c r="I40" s="9">
        <v>0.72</v>
      </c>
      <c r="J40" s="9">
        <v>0.71</v>
      </c>
      <c r="K40" s="10">
        <v>0.31920474522255005</v>
      </c>
      <c r="L40" s="9">
        <v>0.32</v>
      </c>
      <c r="M40" s="9">
        <v>0.49</v>
      </c>
      <c r="N40" s="9">
        <v>0.29</v>
      </c>
      <c r="O40" s="9">
        <v>0.19</v>
      </c>
      <c r="P40" s="10">
        <v>0.3934885442879721</v>
      </c>
      <c r="Q40" s="9">
        <v>0.54</v>
      </c>
      <c r="R40" s="9">
        <v>0.33</v>
      </c>
      <c r="S40" s="9">
        <v>0.31</v>
      </c>
      <c r="T40" s="10">
        <v>0.5555645196941046</v>
      </c>
      <c r="U40" s="9">
        <v>0.45</v>
      </c>
      <c r="V40" s="9">
        <v>0.36</v>
      </c>
      <c r="W40" s="9">
        <v>0.39</v>
      </c>
      <c r="X40" s="9">
        <v>0.73</v>
      </c>
      <c r="Y40" s="9">
        <v>0.72</v>
      </c>
      <c r="Z40" s="9">
        <v>0.49</v>
      </c>
      <c r="AA40" s="9">
        <v>0.75</v>
      </c>
      <c r="AB40" s="9">
        <v>0.56</v>
      </c>
      <c r="AC40" s="10">
        <v>0.4780906717724051</v>
      </c>
      <c r="AD40" s="9">
        <v>0.43</v>
      </c>
      <c r="AE40" s="9">
        <v>0.47</v>
      </c>
      <c r="AF40" s="9">
        <v>0.55</v>
      </c>
      <c r="AG40" s="9">
        <v>0.47</v>
      </c>
      <c r="AH40" s="10">
        <v>0.40841647587740476</v>
      </c>
      <c r="AI40" s="9">
        <v>0.31</v>
      </c>
      <c r="AJ40" s="9">
        <v>0.35</v>
      </c>
      <c r="AK40" s="9">
        <v>0.29</v>
      </c>
      <c r="AL40" s="9">
        <v>0.49</v>
      </c>
      <c r="AM40" s="9">
        <v>0.6</v>
      </c>
      <c r="AN40" s="10">
        <v>0.4461348747477904</v>
      </c>
      <c r="AO40" s="9">
        <v>0.46</v>
      </c>
      <c r="AP40" s="9">
        <v>0.5</v>
      </c>
      <c r="AQ40" s="9">
        <v>0.47</v>
      </c>
      <c r="AR40" s="9">
        <v>0.68</v>
      </c>
      <c r="AS40" s="9">
        <v>0.2</v>
      </c>
      <c r="AT40" s="9">
        <v>0.26</v>
      </c>
      <c r="AU40" s="9">
        <v>0.55</v>
      </c>
      <c r="AV40" s="10">
        <v>0.439657076566803</v>
      </c>
      <c r="AW40" s="9">
        <v>0.45</v>
      </c>
      <c r="AX40" s="9">
        <v>0.4</v>
      </c>
      <c r="AY40" s="9">
        <v>0.39</v>
      </c>
      <c r="AZ40" s="9">
        <v>0.35</v>
      </c>
      <c r="BA40" s="9">
        <v>0.43</v>
      </c>
      <c r="BB40" s="9">
        <v>0.67</v>
      </c>
      <c r="BC40" s="9">
        <v>0.39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5">
      <c r="A41" s="1" t="s">
        <v>92</v>
      </c>
      <c r="B41" s="1" t="s">
        <v>62</v>
      </c>
      <c r="C41" s="1" t="s">
        <v>68</v>
      </c>
      <c r="D41" s="10">
        <v>0.6437924514706554</v>
      </c>
      <c r="E41" s="9">
        <v>0.74</v>
      </c>
      <c r="F41" s="9">
        <v>0.54</v>
      </c>
      <c r="G41" s="9">
        <v>0.57</v>
      </c>
      <c r="H41" s="9">
        <v>0.59</v>
      </c>
      <c r="I41" s="9">
        <v>0.73</v>
      </c>
      <c r="J41" s="9">
        <v>0.68</v>
      </c>
      <c r="K41" s="10">
        <v>0.3049786279491791</v>
      </c>
      <c r="L41" s="9">
        <v>0.41</v>
      </c>
      <c r="M41" s="9">
        <v>0.34</v>
      </c>
      <c r="N41" s="9">
        <v>0.37</v>
      </c>
      <c r="O41" s="9">
        <v>0.11</v>
      </c>
      <c r="P41" s="10">
        <v>0.7160440752146519</v>
      </c>
      <c r="Q41" s="9">
        <v>0.95</v>
      </c>
      <c r="R41" s="9">
        <v>1</v>
      </c>
      <c r="S41" s="9">
        <v>0.2</v>
      </c>
      <c r="T41" s="10">
        <v>0.5628944877322553</v>
      </c>
      <c r="U41" s="9">
        <v>0.47</v>
      </c>
      <c r="V41" s="9">
        <v>0.48</v>
      </c>
      <c r="W41" s="9">
        <v>0.39</v>
      </c>
      <c r="X41" s="9">
        <v>0.74</v>
      </c>
      <c r="Y41" s="9">
        <v>0.51</v>
      </c>
      <c r="Z41" s="9">
        <v>0.47</v>
      </c>
      <c r="AA41" s="9">
        <v>0.83</v>
      </c>
      <c r="AB41" s="9">
        <v>0.61</v>
      </c>
      <c r="AC41" s="10">
        <v>0.5263304569987297</v>
      </c>
      <c r="AD41" s="9">
        <v>0.44</v>
      </c>
      <c r="AE41" s="9">
        <v>0.72</v>
      </c>
      <c r="AF41" s="9">
        <v>0.51</v>
      </c>
      <c r="AG41" s="9">
        <v>0.43</v>
      </c>
      <c r="AH41" s="10">
        <v>0.5013144558654293</v>
      </c>
      <c r="AI41" s="9">
        <v>0.36</v>
      </c>
      <c r="AJ41" s="9">
        <v>0.41</v>
      </c>
      <c r="AK41" s="9">
        <v>0.57</v>
      </c>
      <c r="AL41" s="9">
        <v>0.59</v>
      </c>
      <c r="AM41" s="9">
        <v>0.58</v>
      </c>
      <c r="AN41" s="10">
        <v>0.49487716783948416</v>
      </c>
      <c r="AO41" s="9">
        <v>0.62</v>
      </c>
      <c r="AP41" s="9">
        <v>0.58</v>
      </c>
      <c r="AQ41" s="9">
        <v>0.33</v>
      </c>
      <c r="AR41" s="9">
        <v>0.67</v>
      </c>
      <c r="AS41" s="9">
        <v>0.45</v>
      </c>
      <c r="AT41" s="9">
        <v>0.34</v>
      </c>
      <c r="AU41" s="9">
        <v>0.47</v>
      </c>
      <c r="AV41" s="10">
        <v>0.4465449875817153</v>
      </c>
      <c r="AW41" s="9">
        <v>0.48</v>
      </c>
      <c r="AX41" s="9">
        <v>0.51</v>
      </c>
      <c r="AY41" s="9">
        <v>0.26</v>
      </c>
      <c r="AZ41" s="9">
        <v>0.42</v>
      </c>
      <c r="BA41" s="9">
        <v>0.4</v>
      </c>
      <c r="BB41" s="9">
        <v>0.66</v>
      </c>
      <c r="BC41" s="9">
        <v>0.39</v>
      </c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5">
      <c r="A42" s="1" t="s">
        <v>17</v>
      </c>
      <c r="B42" s="1" t="s">
        <v>66</v>
      </c>
      <c r="C42" s="1" t="s">
        <v>69</v>
      </c>
      <c r="D42" s="10">
        <v>0.3673885490468431</v>
      </c>
      <c r="E42" s="9">
        <v>0.49</v>
      </c>
      <c r="F42" s="9">
        <v>0.48</v>
      </c>
      <c r="G42" s="9">
        <v>0.32</v>
      </c>
      <c r="H42" s="9">
        <v>0.29</v>
      </c>
      <c r="I42" s="9">
        <v>0.31</v>
      </c>
      <c r="J42" s="9">
        <v>0.33</v>
      </c>
      <c r="K42" s="10">
        <v>0.4872603480623785</v>
      </c>
      <c r="L42" s="9">
        <v>0.46</v>
      </c>
      <c r="M42" s="9">
        <v>0.54</v>
      </c>
      <c r="N42" s="9">
        <v>0.54</v>
      </c>
      <c r="O42" s="9">
        <v>0.4</v>
      </c>
      <c r="P42" s="10">
        <v>0.6759941021413072</v>
      </c>
      <c r="Q42" s="9">
        <v>0.69</v>
      </c>
      <c r="R42" s="9">
        <v>0.66</v>
      </c>
      <c r="S42" s="9">
        <v>0.67</v>
      </c>
      <c r="T42" s="10">
        <v>0.27203492650684064</v>
      </c>
      <c r="U42" s="9">
        <v>0.46</v>
      </c>
      <c r="V42" s="9">
        <v>0.19</v>
      </c>
      <c r="W42" s="9">
        <v>0.39</v>
      </c>
      <c r="X42" s="9">
        <v>0.31</v>
      </c>
      <c r="Y42" s="9">
        <v>0.15</v>
      </c>
      <c r="Z42" s="9">
        <v>0.08</v>
      </c>
      <c r="AA42" s="9">
        <v>0.28</v>
      </c>
      <c r="AB42" s="9">
        <v>0.33</v>
      </c>
      <c r="AC42" s="10">
        <v>0.38406730858604776</v>
      </c>
      <c r="AD42" s="9">
        <v>0.59</v>
      </c>
      <c r="AE42" s="9">
        <v>0.4</v>
      </c>
      <c r="AF42" s="9">
        <v>0.39</v>
      </c>
      <c r="AG42" s="9">
        <v>0.16</v>
      </c>
      <c r="AH42" s="10">
        <v>0.5447412200548349</v>
      </c>
      <c r="AI42" s="9">
        <v>0.55</v>
      </c>
      <c r="AJ42" s="9">
        <v>0.55</v>
      </c>
      <c r="AK42" s="9">
        <v>0.58</v>
      </c>
      <c r="AL42" s="9">
        <v>0.44</v>
      </c>
      <c r="AM42" s="9">
        <v>0.61</v>
      </c>
      <c r="AN42" s="10">
        <v>0.6240033904128044</v>
      </c>
      <c r="AO42" s="9">
        <v>0.63</v>
      </c>
      <c r="AP42" s="9">
        <v>0.62</v>
      </c>
      <c r="AQ42" s="9">
        <v>0.57</v>
      </c>
      <c r="AR42" s="9">
        <v>0.57</v>
      </c>
      <c r="AS42" s="9">
        <v>0.53</v>
      </c>
      <c r="AT42" s="9">
        <v>0.69</v>
      </c>
      <c r="AU42" s="9">
        <v>0.76</v>
      </c>
      <c r="AV42" s="10">
        <v>0.44997929490185484</v>
      </c>
      <c r="AW42" s="9">
        <v>0.59</v>
      </c>
      <c r="AX42" s="9">
        <v>0.5</v>
      </c>
      <c r="AY42" s="9">
        <v>0.49</v>
      </c>
      <c r="AZ42" s="9">
        <v>0.32</v>
      </c>
      <c r="BA42" s="9">
        <v>0.49</v>
      </c>
      <c r="BB42" s="9">
        <v>0.38</v>
      </c>
      <c r="BC42" s="9">
        <v>0.39</v>
      </c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5">
      <c r="A43" s="1" t="s">
        <v>18</v>
      </c>
      <c r="B43" s="1" t="s">
        <v>63</v>
      </c>
      <c r="C43" s="1" t="s">
        <v>71</v>
      </c>
      <c r="D43" s="10">
        <v>0.6711143246582166</v>
      </c>
      <c r="E43" s="9">
        <v>0.73</v>
      </c>
      <c r="F43" s="9">
        <v>0.67</v>
      </c>
      <c r="G43" s="9">
        <v>0.64</v>
      </c>
      <c r="H43" s="9">
        <v>0.54</v>
      </c>
      <c r="I43" s="9">
        <v>0.7</v>
      </c>
      <c r="J43" s="9">
        <v>0.75</v>
      </c>
      <c r="K43" s="10">
        <v>0.6241685861281103</v>
      </c>
      <c r="L43" s="9">
        <v>0.61</v>
      </c>
      <c r="M43" s="9">
        <v>0.79</v>
      </c>
      <c r="N43" s="9">
        <v>0.82</v>
      </c>
      <c r="O43" s="9">
        <v>0.27</v>
      </c>
      <c r="P43" s="10">
        <v>0.7645223390613506</v>
      </c>
      <c r="Q43" s="9">
        <v>0.83</v>
      </c>
      <c r="R43" s="9">
        <v>1</v>
      </c>
      <c r="S43" s="9">
        <v>0.47</v>
      </c>
      <c r="T43" s="10">
        <v>0.7234365305084833</v>
      </c>
      <c r="U43" s="9">
        <v>0.6</v>
      </c>
      <c r="V43" s="9">
        <v>0.85</v>
      </c>
      <c r="W43" s="9">
        <v>0.69</v>
      </c>
      <c r="X43" s="9">
        <v>0.7</v>
      </c>
      <c r="Y43" s="9">
        <v>0.74</v>
      </c>
      <c r="Z43" s="9">
        <v>0.8</v>
      </c>
      <c r="AA43" s="9">
        <v>0.78</v>
      </c>
      <c r="AB43" s="9">
        <v>0.63</v>
      </c>
      <c r="AC43" s="10">
        <v>0.4873269111829395</v>
      </c>
      <c r="AD43" s="9">
        <v>0.45</v>
      </c>
      <c r="AE43" s="9">
        <v>0.47</v>
      </c>
      <c r="AF43" s="9">
        <v>0.47</v>
      </c>
      <c r="AG43" s="9">
        <v>0.56</v>
      </c>
      <c r="AH43" s="10">
        <v>0.556494614316612</v>
      </c>
      <c r="AI43" s="9">
        <v>0.58</v>
      </c>
      <c r="AJ43" s="9">
        <v>0.64</v>
      </c>
      <c r="AK43" s="9">
        <v>0.39</v>
      </c>
      <c r="AL43" s="9">
        <v>0.56</v>
      </c>
      <c r="AM43" s="9">
        <v>0.61</v>
      </c>
      <c r="AN43" s="10">
        <v>0.5588016135912556</v>
      </c>
      <c r="AO43" s="9">
        <v>0.62</v>
      </c>
      <c r="AP43" s="9">
        <v>0.5</v>
      </c>
      <c r="AQ43" s="9">
        <v>0.73</v>
      </c>
      <c r="AR43" s="9">
        <v>0.7</v>
      </c>
      <c r="AS43" s="9">
        <v>0.29</v>
      </c>
      <c r="AT43" s="9">
        <v>0.33</v>
      </c>
      <c r="AU43" s="9">
        <v>0.74</v>
      </c>
      <c r="AV43" s="10">
        <v>0.6729423990444745</v>
      </c>
      <c r="AW43" s="9">
        <v>0.71</v>
      </c>
      <c r="AX43" s="9">
        <v>0.59</v>
      </c>
      <c r="AY43" s="9">
        <v>0.43</v>
      </c>
      <c r="AZ43" s="9">
        <v>0.66</v>
      </c>
      <c r="BA43" s="9">
        <v>0.76</v>
      </c>
      <c r="BB43" s="9">
        <v>0.87</v>
      </c>
      <c r="BC43" s="9">
        <v>0.69</v>
      </c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5">
      <c r="A44" s="1" t="s">
        <v>19</v>
      </c>
      <c r="B44" s="1" t="s">
        <v>61</v>
      </c>
      <c r="C44" s="1" t="s">
        <v>69</v>
      </c>
      <c r="D44" s="10">
        <v>0.5995359104736849</v>
      </c>
      <c r="E44" s="9">
        <v>0.67</v>
      </c>
      <c r="F44" s="9">
        <v>0.65</v>
      </c>
      <c r="G44" s="9">
        <v>0.52</v>
      </c>
      <c r="H44" s="9">
        <v>0.4</v>
      </c>
      <c r="I44" s="9">
        <v>0.63</v>
      </c>
      <c r="J44" s="9">
        <v>0.72</v>
      </c>
      <c r="K44" s="10">
        <v>0.510368552673662</v>
      </c>
      <c r="L44" s="9">
        <v>0.52</v>
      </c>
      <c r="M44" s="9">
        <v>0.7</v>
      </c>
      <c r="N44" s="9">
        <v>0.59</v>
      </c>
      <c r="O44" s="9">
        <v>0.24</v>
      </c>
      <c r="P44" s="10">
        <v>0.5996556505734347</v>
      </c>
      <c r="Q44" s="9">
        <v>0.69</v>
      </c>
      <c r="R44" s="9">
        <v>1</v>
      </c>
      <c r="S44" s="9">
        <v>0.11</v>
      </c>
      <c r="T44" s="10">
        <v>0.5853809050510301</v>
      </c>
      <c r="U44" s="9">
        <v>0.59</v>
      </c>
      <c r="V44" s="9">
        <v>0.42</v>
      </c>
      <c r="W44" s="9">
        <v>0.4</v>
      </c>
      <c r="X44" s="9">
        <v>0.63</v>
      </c>
      <c r="Y44" s="9">
        <v>0.81</v>
      </c>
      <c r="Z44" s="9">
        <v>0.51</v>
      </c>
      <c r="AA44" s="9">
        <v>0.7</v>
      </c>
      <c r="AB44" s="9">
        <v>0.61</v>
      </c>
      <c r="AC44" s="10">
        <v>0.4115293873767558</v>
      </c>
      <c r="AD44" s="9">
        <v>0.37</v>
      </c>
      <c r="AE44" s="9">
        <v>0.41</v>
      </c>
      <c r="AF44" s="9">
        <v>0.43</v>
      </c>
      <c r="AG44" s="9">
        <v>0.44</v>
      </c>
      <c r="AH44" s="10">
        <v>0.5461417476657113</v>
      </c>
      <c r="AI44" s="9">
        <v>0.5</v>
      </c>
      <c r="AJ44" s="9">
        <v>0.69</v>
      </c>
      <c r="AK44" s="9">
        <v>0.42</v>
      </c>
      <c r="AL44" s="9">
        <v>0.53</v>
      </c>
      <c r="AM44" s="9">
        <v>0.59</v>
      </c>
      <c r="AN44" s="10">
        <v>0.5072036240538071</v>
      </c>
      <c r="AO44" s="9">
        <v>0.55</v>
      </c>
      <c r="AP44" s="9">
        <v>0.44</v>
      </c>
      <c r="AQ44" s="9">
        <v>0.68</v>
      </c>
      <c r="AR44" s="9">
        <v>0.67</v>
      </c>
      <c r="AS44" s="9">
        <v>0.29</v>
      </c>
      <c r="AT44" s="9">
        <v>0.34</v>
      </c>
      <c r="AU44" s="9">
        <v>0.58</v>
      </c>
      <c r="AV44" s="10">
        <v>0.41809107977975685</v>
      </c>
      <c r="AW44" s="9">
        <v>0.41</v>
      </c>
      <c r="AX44" s="9">
        <v>0.31</v>
      </c>
      <c r="AY44" s="9">
        <v>0.16</v>
      </c>
      <c r="AZ44" s="9">
        <v>0.33</v>
      </c>
      <c r="BA44" s="9">
        <v>0.6</v>
      </c>
      <c r="BB44" s="9">
        <v>0.71</v>
      </c>
      <c r="BC44" s="9">
        <v>0.4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5">
      <c r="A45" s="1" t="s">
        <v>20</v>
      </c>
      <c r="B45" s="1" t="s">
        <v>62</v>
      </c>
      <c r="C45" s="1" t="s">
        <v>71</v>
      </c>
      <c r="D45" s="10">
        <v>0.8012198934556518</v>
      </c>
      <c r="E45" s="9">
        <v>0.89</v>
      </c>
      <c r="F45" s="9">
        <v>0.84</v>
      </c>
      <c r="G45" s="9">
        <v>0.64</v>
      </c>
      <c r="H45" s="9">
        <v>0.79</v>
      </c>
      <c r="I45" s="9">
        <v>0.84</v>
      </c>
      <c r="J45" s="9">
        <v>0.81</v>
      </c>
      <c r="K45" s="10">
        <v>0.8444852300568908</v>
      </c>
      <c r="L45" s="9">
        <v>0.87</v>
      </c>
      <c r="M45" s="9">
        <v>0.84</v>
      </c>
      <c r="N45" s="9">
        <v>0.9</v>
      </c>
      <c r="O45" s="9">
        <v>0.77</v>
      </c>
      <c r="P45" s="10">
        <v>0.8878397474815752</v>
      </c>
      <c r="Q45" s="9">
        <v>0.92</v>
      </c>
      <c r="R45" s="9">
        <v>1</v>
      </c>
      <c r="S45" s="9">
        <v>0.74</v>
      </c>
      <c r="T45" s="10">
        <v>0.7811346775414674</v>
      </c>
      <c r="U45" s="9">
        <v>0.81</v>
      </c>
      <c r="V45" s="9">
        <v>0.79</v>
      </c>
      <c r="W45" s="9">
        <v>0.69</v>
      </c>
      <c r="X45" s="9">
        <v>0.84</v>
      </c>
      <c r="Y45" s="9">
        <v>0.78</v>
      </c>
      <c r="Z45" s="9">
        <v>0.71</v>
      </c>
      <c r="AA45" s="9">
        <v>0.84</v>
      </c>
      <c r="AB45" s="9">
        <v>0.8</v>
      </c>
      <c r="AC45" s="10">
        <v>0.818671027522597</v>
      </c>
      <c r="AD45" s="9">
        <v>0.84</v>
      </c>
      <c r="AE45" s="9">
        <v>0.73</v>
      </c>
      <c r="AF45" s="9">
        <v>0.88</v>
      </c>
      <c r="AG45" s="9">
        <v>0.83</v>
      </c>
      <c r="AH45" s="10">
        <v>0.8659417191725822</v>
      </c>
      <c r="AI45" s="9">
        <v>0.83</v>
      </c>
      <c r="AJ45" s="9">
        <v>0.91</v>
      </c>
      <c r="AK45" s="9">
        <v>0.77</v>
      </c>
      <c r="AL45" s="9">
        <v>0.87</v>
      </c>
      <c r="AM45" s="9">
        <v>0.94</v>
      </c>
      <c r="AN45" s="10">
        <v>0.7704991554180803</v>
      </c>
      <c r="AO45" s="9">
        <v>0.64</v>
      </c>
      <c r="AP45" s="9">
        <v>0.83</v>
      </c>
      <c r="AQ45" s="9">
        <v>0.85</v>
      </c>
      <c r="AR45" s="9">
        <v>0.79</v>
      </c>
      <c r="AS45" s="9">
        <v>0.65</v>
      </c>
      <c r="AT45" s="9">
        <v>0.79</v>
      </c>
      <c r="AU45" s="9">
        <v>0.83</v>
      </c>
      <c r="AV45" s="10">
        <v>0.6778677050005658</v>
      </c>
      <c r="AW45" s="9">
        <v>0.63</v>
      </c>
      <c r="AX45" s="9">
        <v>0.58</v>
      </c>
      <c r="AY45" s="9">
        <v>0.6</v>
      </c>
      <c r="AZ45" s="9">
        <v>0.65</v>
      </c>
      <c r="BA45" s="9">
        <v>0.84</v>
      </c>
      <c r="BB45" s="9">
        <v>0.77</v>
      </c>
      <c r="BC45" s="9">
        <v>0.69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">
      <c r="A46" s="1" t="s">
        <v>21</v>
      </c>
      <c r="B46" s="1" t="s">
        <v>66</v>
      </c>
      <c r="C46" s="1" t="s">
        <v>69</v>
      </c>
      <c r="D46" s="10">
        <v>0.5486691762449537</v>
      </c>
      <c r="E46" s="9">
        <v>0.62</v>
      </c>
      <c r="F46" s="9">
        <v>0.61</v>
      </c>
      <c r="G46" s="9">
        <v>0.65</v>
      </c>
      <c r="H46" s="9">
        <v>0.58</v>
      </c>
      <c r="I46" s="9">
        <v>0.49</v>
      </c>
      <c r="J46" s="9">
        <v>0.34</v>
      </c>
      <c r="K46" s="10">
        <v>0.5691797906374068</v>
      </c>
      <c r="L46" s="9">
        <v>0.59</v>
      </c>
      <c r="M46" s="9">
        <v>0.67</v>
      </c>
      <c r="N46" s="9">
        <v>0.62</v>
      </c>
      <c r="O46" s="9">
        <v>0.4</v>
      </c>
      <c r="P46" s="10">
        <v>0.7490559689662765</v>
      </c>
      <c r="Q46" s="9">
        <v>0.94</v>
      </c>
      <c r="R46" s="9">
        <v>1</v>
      </c>
      <c r="S46" s="9">
        <v>0.31</v>
      </c>
      <c r="T46" s="10">
        <v>0.49787593696950794</v>
      </c>
      <c r="U46" s="9">
        <v>0.56</v>
      </c>
      <c r="V46" s="9">
        <v>0.44</v>
      </c>
      <c r="W46" s="9">
        <v>0.5</v>
      </c>
      <c r="X46" s="9">
        <v>0.49</v>
      </c>
      <c r="Y46" s="9">
        <v>0.62</v>
      </c>
      <c r="Z46" s="9">
        <v>0.33</v>
      </c>
      <c r="AA46" s="9">
        <v>0.61</v>
      </c>
      <c r="AB46" s="9">
        <v>0.42</v>
      </c>
      <c r="AC46" s="10">
        <v>0.4623460688852458</v>
      </c>
      <c r="AD46" s="9">
        <v>0.65</v>
      </c>
      <c r="AE46" s="9">
        <v>0.51</v>
      </c>
      <c r="AF46" s="9">
        <v>0.31</v>
      </c>
      <c r="AG46" s="9">
        <v>0.38</v>
      </c>
      <c r="AH46" s="10">
        <v>0.586533889659945</v>
      </c>
      <c r="AI46" s="9">
        <v>0.57</v>
      </c>
      <c r="AJ46" s="9">
        <v>0.67</v>
      </c>
      <c r="AK46" s="9">
        <v>0.48</v>
      </c>
      <c r="AL46" s="9">
        <v>0.5</v>
      </c>
      <c r="AM46" s="9">
        <v>0.72</v>
      </c>
      <c r="AN46" s="10">
        <v>0.6453135217119191</v>
      </c>
      <c r="AO46" s="9">
        <v>0.65</v>
      </c>
      <c r="AP46" s="9">
        <v>0.75</v>
      </c>
      <c r="AQ46" s="9">
        <v>0.73</v>
      </c>
      <c r="AR46" s="9">
        <v>0.68</v>
      </c>
      <c r="AS46" s="9">
        <v>0.36</v>
      </c>
      <c r="AT46" s="9">
        <v>0.67</v>
      </c>
      <c r="AU46" s="9">
        <v>0.68</v>
      </c>
      <c r="AV46" s="10">
        <v>0.5166635347751817</v>
      </c>
      <c r="AW46" s="9">
        <v>0.42</v>
      </c>
      <c r="AX46" s="9">
        <v>0.58</v>
      </c>
      <c r="AY46" s="9">
        <v>0.49</v>
      </c>
      <c r="AZ46" s="9">
        <v>0.44</v>
      </c>
      <c r="BA46" s="9">
        <v>0.57</v>
      </c>
      <c r="BB46" s="9">
        <v>0.62</v>
      </c>
      <c r="BC46" s="9">
        <v>0.5</v>
      </c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5">
      <c r="A47" s="1" t="s">
        <v>22</v>
      </c>
      <c r="B47" s="1" t="s">
        <v>60</v>
      </c>
      <c r="C47" s="1" t="s">
        <v>69</v>
      </c>
      <c r="D47" s="10">
        <v>0.34649770233369326</v>
      </c>
      <c r="E47" s="9">
        <v>0.36</v>
      </c>
      <c r="F47" s="9">
        <v>0.31</v>
      </c>
      <c r="G47" s="9">
        <v>0.33</v>
      </c>
      <c r="H47" s="9">
        <v>0.37</v>
      </c>
      <c r="I47" s="9">
        <v>0.35</v>
      </c>
      <c r="J47" s="9">
        <v>0.35</v>
      </c>
      <c r="K47" s="10">
        <v>0.37927327599906413</v>
      </c>
      <c r="L47" s="9">
        <v>0.41</v>
      </c>
      <c r="M47" s="9">
        <v>0.36</v>
      </c>
      <c r="N47" s="9">
        <v>0.45</v>
      </c>
      <c r="O47" s="9">
        <v>0.3</v>
      </c>
      <c r="P47" s="10">
        <v>0.7396245725687685</v>
      </c>
      <c r="Q47" s="9">
        <v>0.79</v>
      </c>
      <c r="R47" s="9">
        <v>1</v>
      </c>
      <c r="S47" s="9">
        <v>0.43</v>
      </c>
      <c r="T47" s="10">
        <v>0.49816325652577503</v>
      </c>
      <c r="U47" s="9">
        <v>0.61</v>
      </c>
      <c r="V47" s="9">
        <v>0.5</v>
      </c>
      <c r="W47" s="9">
        <v>0.44</v>
      </c>
      <c r="X47" s="9">
        <v>0.35</v>
      </c>
      <c r="Y47" s="9">
        <v>0.67</v>
      </c>
      <c r="Z47" s="9">
        <v>0.33</v>
      </c>
      <c r="AA47" s="9">
        <v>0.44</v>
      </c>
      <c r="AB47" s="9">
        <v>0.63</v>
      </c>
      <c r="AC47" s="10">
        <v>0.3589718790450593</v>
      </c>
      <c r="AD47" s="9">
        <v>0.57</v>
      </c>
      <c r="AE47" s="9">
        <v>0.2</v>
      </c>
      <c r="AF47" s="9">
        <v>0.37</v>
      </c>
      <c r="AG47" s="9">
        <v>0.29</v>
      </c>
      <c r="AH47" s="10">
        <v>0.4373289720479872</v>
      </c>
      <c r="AI47" s="9">
        <v>0.55</v>
      </c>
      <c r="AJ47" s="9">
        <v>0.46</v>
      </c>
      <c r="AK47" s="9">
        <v>0.49</v>
      </c>
      <c r="AL47" s="9">
        <v>0.16</v>
      </c>
      <c r="AM47" s="9">
        <v>0.52</v>
      </c>
      <c r="AN47" s="10">
        <v>0.4857371976578018</v>
      </c>
      <c r="AO47" s="9">
        <v>0.48</v>
      </c>
      <c r="AP47" s="9">
        <v>0.41</v>
      </c>
      <c r="AQ47" s="9">
        <v>0.34</v>
      </c>
      <c r="AR47" s="9">
        <v>0.49</v>
      </c>
      <c r="AS47" s="9">
        <v>0.62</v>
      </c>
      <c r="AT47" s="9">
        <v>0.51</v>
      </c>
      <c r="AU47" s="9">
        <v>0.54</v>
      </c>
      <c r="AV47" s="10">
        <v>0.45671159942887124</v>
      </c>
      <c r="AW47" s="9">
        <v>0.49</v>
      </c>
      <c r="AX47" s="9">
        <v>0.63</v>
      </c>
      <c r="AY47" s="9">
        <v>0.44</v>
      </c>
      <c r="AZ47" s="9">
        <v>0.37</v>
      </c>
      <c r="BA47" s="9">
        <v>0.41</v>
      </c>
      <c r="BB47" s="9">
        <v>0.42</v>
      </c>
      <c r="BC47" s="9">
        <v>0.44</v>
      </c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5">
      <c r="A48" s="1" t="s">
        <v>93</v>
      </c>
      <c r="B48" s="1" t="s">
        <v>65</v>
      </c>
      <c r="C48" s="1" t="s">
        <v>73</v>
      </c>
      <c r="D48" s="10">
        <v>0.4463146059811014</v>
      </c>
      <c r="E48" s="9">
        <v>0.56</v>
      </c>
      <c r="F48" s="9">
        <v>0.39</v>
      </c>
      <c r="G48" s="9">
        <v>0.36</v>
      </c>
      <c r="H48" s="9">
        <v>0.34</v>
      </c>
      <c r="I48" s="9">
        <v>0.6</v>
      </c>
      <c r="J48" s="9">
        <v>0.43</v>
      </c>
      <c r="K48" s="10">
        <v>0.26770900271176695</v>
      </c>
      <c r="L48" s="9">
        <v>0.32</v>
      </c>
      <c r="M48" s="9">
        <v>0.44</v>
      </c>
      <c r="N48" s="9">
        <v>0.26</v>
      </c>
      <c r="O48" s="9">
        <v>0.06</v>
      </c>
      <c r="P48" s="10">
        <v>0.6197214948647767</v>
      </c>
      <c r="Q48" s="9">
        <v>0.66</v>
      </c>
      <c r="R48" s="9">
        <v>1</v>
      </c>
      <c r="S48" s="9">
        <v>0.2</v>
      </c>
      <c r="T48" s="10">
        <v>0.5352781663807306</v>
      </c>
      <c r="U48" s="9">
        <v>0.43</v>
      </c>
      <c r="V48" s="9">
        <v>0.43</v>
      </c>
      <c r="W48" s="9">
        <v>0.41</v>
      </c>
      <c r="X48" s="9">
        <v>0.61</v>
      </c>
      <c r="Y48" s="9">
        <v>0.74</v>
      </c>
      <c r="Z48" s="9">
        <v>0.39</v>
      </c>
      <c r="AA48" s="9">
        <v>0.78</v>
      </c>
      <c r="AB48" s="9">
        <v>0.49</v>
      </c>
      <c r="AC48" s="10">
        <v>0.43739426777272405</v>
      </c>
      <c r="AD48" s="9">
        <v>0.39</v>
      </c>
      <c r="AE48" s="9">
        <v>0.48</v>
      </c>
      <c r="AF48" s="9">
        <v>0.49</v>
      </c>
      <c r="AG48" s="9">
        <v>0.38</v>
      </c>
      <c r="AH48" s="10">
        <v>0.39264605880303255</v>
      </c>
      <c r="AI48" s="9">
        <v>0.37</v>
      </c>
      <c r="AJ48" s="9">
        <v>0.36</v>
      </c>
      <c r="AK48" s="9">
        <v>0.35</v>
      </c>
      <c r="AL48" s="9">
        <v>0.41</v>
      </c>
      <c r="AM48" s="9">
        <v>0.47</v>
      </c>
      <c r="AN48" s="10">
        <v>0.47368029386929095</v>
      </c>
      <c r="AO48" s="9">
        <v>0.5</v>
      </c>
      <c r="AP48" s="9">
        <v>0.47</v>
      </c>
      <c r="AQ48" s="9">
        <v>0.36</v>
      </c>
      <c r="AR48" s="9">
        <v>0.51</v>
      </c>
      <c r="AS48" s="9">
        <v>0.35</v>
      </c>
      <c r="AT48" s="9">
        <v>0.48</v>
      </c>
      <c r="AU48" s="9">
        <v>0.64</v>
      </c>
      <c r="AV48" s="10">
        <v>0.3979868595602558</v>
      </c>
      <c r="AW48" s="9">
        <v>0.44</v>
      </c>
      <c r="AX48" s="9">
        <v>0.3</v>
      </c>
      <c r="AY48" s="9">
        <v>0.29</v>
      </c>
      <c r="AZ48" s="9">
        <v>0.33</v>
      </c>
      <c r="BA48" s="9">
        <v>0.34</v>
      </c>
      <c r="BB48" s="9">
        <v>0.66</v>
      </c>
      <c r="BC48" s="9">
        <v>0.41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5">
      <c r="A49" s="1" t="s">
        <v>23</v>
      </c>
      <c r="B49" s="1" t="s">
        <v>60</v>
      </c>
      <c r="C49" s="1" t="s">
        <v>73</v>
      </c>
      <c r="D49" s="10">
        <v>0.43536985057742505</v>
      </c>
      <c r="E49" s="9">
        <v>0.58</v>
      </c>
      <c r="F49" s="9">
        <v>0.3</v>
      </c>
      <c r="G49" s="9">
        <v>0.29</v>
      </c>
      <c r="H49" s="9">
        <v>0.31</v>
      </c>
      <c r="I49" s="9">
        <v>0.57</v>
      </c>
      <c r="J49" s="9">
        <v>0.56</v>
      </c>
      <c r="K49" s="10">
        <v>0.26280851924545723</v>
      </c>
      <c r="L49" s="9">
        <v>0.38</v>
      </c>
      <c r="M49" s="9">
        <v>0.17</v>
      </c>
      <c r="N49" s="9">
        <v>0.37</v>
      </c>
      <c r="O49" s="9">
        <v>0.13</v>
      </c>
      <c r="P49" s="10">
        <v>0.736868262291996</v>
      </c>
      <c r="Q49" s="9">
        <v>0.78</v>
      </c>
      <c r="R49" s="9">
        <v>1</v>
      </c>
      <c r="S49" s="9">
        <v>0.43</v>
      </c>
      <c r="T49" s="10">
        <v>0.5127613605705664</v>
      </c>
      <c r="U49" s="9">
        <v>0.41</v>
      </c>
      <c r="V49" s="9">
        <v>0.46</v>
      </c>
      <c r="W49" s="9">
        <v>0.32</v>
      </c>
      <c r="X49" s="9">
        <v>0.58</v>
      </c>
      <c r="Y49" s="9">
        <v>0.62</v>
      </c>
      <c r="Z49" s="9">
        <v>0.38</v>
      </c>
      <c r="AA49" s="9">
        <v>0.71</v>
      </c>
      <c r="AB49" s="9">
        <v>0.62</v>
      </c>
      <c r="AC49" s="10">
        <v>0.44054051181108395</v>
      </c>
      <c r="AD49" s="9">
        <v>0.49</v>
      </c>
      <c r="AE49" s="9">
        <v>0.45</v>
      </c>
      <c r="AF49" s="9">
        <v>0.44</v>
      </c>
      <c r="AG49" s="9">
        <v>0.38</v>
      </c>
      <c r="AH49" s="10">
        <v>0.4330687800669251</v>
      </c>
      <c r="AI49" s="9">
        <v>0.51</v>
      </c>
      <c r="AJ49" s="9">
        <v>0.41</v>
      </c>
      <c r="AK49" s="9">
        <v>0.47</v>
      </c>
      <c r="AL49" s="9">
        <v>0.39</v>
      </c>
      <c r="AM49" s="9">
        <v>0.38</v>
      </c>
      <c r="AN49" s="10">
        <v>0.45811291802248916</v>
      </c>
      <c r="AO49" s="9">
        <v>0.64</v>
      </c>
      <c r="AP49" s="9">
        <v>0.54</v>
      </c>
      <c r="AQ49" s="9">
        <v>0.19</v>
      </c>
      <c r="AR49" s="9">
        <v>0.44</v>
      </c>
      <c r="AS49" s="9">
        <v>0.42</v>
      </c>
      <c r="AT49" s="9">
        <v>0.49</v>
      </c>
      <c r="AU49" s="9">
        <v>0.49</v>
      </c>
      <c r="AV49" s="10">
        <v>0.35108674601507917</v>
      </c>
      <c r="AW49" s="9">
        <v>0.39</v>
      </c>
      <c r="AX49" s="9">
        <v>0.48</v>
      </c>
      <c r="AY49" s="9">
        <v>0.24</v>
      </c>
      <c r="AZ49" s="9">
        <v>0.3</v>
      </c>
      <c r="BA49" s="9">
        <v>0.24</v>
      </c>
      <c r="BB49" s="9">
        <v>0.49</v>
      </c>
      <c r="BC49" s="9">
        <v>0.32</v>
      </c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15">
      <c r="A50" s="1" t="s">
        <v>24</v>
      </c>
      <c r="B50" s="1" t="s">
        <v>66</v>
      </c>
      <c r="C50" s="1" t="s">
        <v>69</v>
      </c>
      <c r="D50" s="10">
        <v>0.5677301494796658</v>
      </c>
      <c r="E50" s="9">
        <v>0.74</v>
      </c>
      <c r="F50" s="9">
        <v>0.47</v>
      </c>
      <c r="G50" s="9">
        <v>0.45</v>
      </c>
      <c r="H50" s="9">
        <v>0.43</v>
      </c>
      <c r="I50" s="9">
        <v>0.76</v>
      </c>
      <c r="J50" s="9">
        <v>0.56</v>
      </c>
      <c r="K50" s="10">
        <v>0.42335380119871535</v>
      </c>
      <c r="L50" s="9">
        <v>0.38</v>
      </c>
      <c r="M50" s="9">
        <v>0.49</v>
      </c>
      <c r="N50" s="9">
        <v>0.55</v>
      </c>
      <c r="O50" s="9">
        <v>0.27</v>
      </c>
      <c r="P50" s="10">
        <v>0.6810439464522556</v>
      </c>
      <c r="Q50" s="9">
        <v>0.88</v>
      </c>
      <c r="R50" s="9">
        <v>0.75</v>
      </c>
      <c r="S50" s="9">
        <v>0.41</v>
      </c>
      <c r="T50" s="10">
        <v>0.6459849808108138</v>
      </c>
      <c r="U50" s="9">
        <v>0.49</v>
      </c>
      <c r="V50" s="9">
        <v>0.74</v>
      </c>
      <c r="W50" s="9">
        <v>0.44</v>
      </c>
      <c r="X50" s="9">
        <v>0.77</v>
      </c>
      <c r="Y50" s="9">
        <v>0.5</v>
      </c>
      <c r="Z50" s="9">
        <v>0.75</v>
      </c>
      <c r="AA50" s="9">
        <v>0.8</v>
      </c>
      <c r="AB50" s="9">
        <v>0.68</v>
      </c>
      <c r="AC50" s="10">
        <v>0.46827598026201916</v>
      </c>
      <c r="AD50" s="9">
        <v>0.45</v>
      </c>
      <c r="AE50" s="9">
        <v>0.57</v>
      </c>
      <c r="AF50" s="9">
        <v>0.43</v>
      </c>
      <c r="AG50" s="9">
        <v>0.43</v>
      </c>
      <c r="AH50" s="10">
        <v>0.38386994742547575</v>
      </c>
      <c r="AI50" s="9">
        <v>0.41</v>
      </c>
      <c r="AJ50" s="9">
        <v>0.26</v>
      </c>
      <c r="AK50" s="9">
        <v>0.37</v>
      </c>
      <c r="AL50" s="9">
        <v>0.38</v>
      </c>
      <c r="AM50" s="9">
        <v>0.5</v>
      </c>
      <c r="AN50" s="10">
        <v>0.4543512864513848</v>
      </c>
      <c r="AO50" s="9">
        <v>0.6</v>
      </c>
      <c r="AP50" s="9">
        <v>0.42</v>
      </c>
      <c r="AQ50" s="9">
        <v>0.44</v>
      </c>
      <c r="AR50" s="9">
        <v>0.55</v>
      </c>
      <c r="AS50" s="9">
        <v>0.2</v>
      </c>
      <c r="AT50" s="9">
        <v>0.52</v>
      </c>
      <c r="AU50" s="9">
        <v>0.44</v>
      </c>
      <c r="AV50" s="10">
        <v>0.48649375434284126</v>
      </c>
      <c r="AW50" s="9">
        <v>0.56</v>
      </c>
      <c r="AX50" s="9">
        <v>0.47</v>
      </c>
      <c r="AY50" s="9">
        <v>0.12</v>
      </c>
      <c r="AZ50" s="9">
        <v>0.5</v>
      </c>
      <c r="BA50" s="9">
        <v>0.6</v>
      </c>
      <c r="BB50" s="9">
        <v>0.72</v>
      </c>
      <c r="BC50" s="9">
        <v>0.44</v>
      </c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15">
      <c r="A51" s="1" t="s">
        <v>25</v>
      </c>
      <c r="B51" s="1" t="s">
        <v>65</v>
      </c>
      <c r="C51" s="1" t="s">
        <v>73</v>
      </c>
      <c r="D51" s="10">
        <v>0.5313149616417819</v>
      </c>
      <c r="E51" s="9">
        <v>0.73</v>
      </c>
      <c r="F51" s="9">
        <v>0.49</v>
      </c>
      <c r="G51" s="9">
        <v>0.25</v>
      </c>
      <c r="H51" s="9">
        <v>0.32</v>
      </c>
      <c r="I51" s="9">
        <v>0.69</v>
      </c>
      <c r="J51" s="9">
        <v>0.71</v>
      </c>
      <c r="K51" s="10">
        <v>0.3569380353726043</v>
      </c>
      <c r="L51" s="9">
        <v>0.31</v>
      </c>
      <c r="M51" s="9">
        <v>0.45</v>
      </c>
      <c r="N51" s="9">
        <v>0.45</v>
      </c>
      <c r="O51" s="9">
        <v>0.22</v>
      </c>
      <c r="P51" s="10">
        <v>0.5603914738328886</v>
      </c>
      <c r="Q51" s="9">
        <v>0.52</v>
      </c>
      <c r="R51" s="9">
        <v>1</v>
      </c>
      <c r="S51" s="9">
        <v>0.16</v>
      </c>
      <c r="T51" s="10">
        <v>0.5217232887455149</v>
      </c>
      <c r="U51" s="9">
        <v>0.4</v>
      </c>
      <c r="V51" s="9">
        <v>0.43</v>
      </c>
      <c r="W51" s="9">
        <v>0.37</v>
      </c>
      <c r="X51" s="9">
        <v>0.7</v>
      </c>
      <c r="Y51" s="9">
        <v>0.73</v>
      </c>
      <c r="Z51" s="9">
        <v>0.47</v>
      </c>
      <c r="AA51" s="9">
        <v>0.73</v>
      </c>
      <c r="AB51" s="9">
        <v>0.35</v>
      </c>
      <c r="AC51" s="10">
        <v>0.38834236345584555</v>
      </c>
      <c r="AD51" s="9">
        <v>0.3</v>
      </c>
      <c r="AE51" s="9">
        <v>0.33</v>
      </c>
      <c r="AF51" s="9">
        <v>0.54</v>
      </c>
      <c r="AG51" s="9">
        <v>0.38</v>
      </c>
      <c r="AH51" s="10">
        <v>0.22678220264189086</v>
      </c>
      <c r="AI51" s="9">
        <v>0.26</v>
      </c>
      <c r="AJ51" s="9">
        <v>0.27</v>
      </c>
      <c r="AK51" s="9">
        <v>0.13</v>
      </c>
      <c r="AL51" s="9">
        <v>0.13</v>
      </c>
      <c r="AM51" s="9">
        <v>0.35</v>
      </c>
      <c r="AN51" s="10">
        <v>0.32733399220683207</v>
      </c>
      <c r="AO51" s="9">
        <v>0.49</v>
      </c>
      <c r="AP51" s="9">
        <v>0.21</v>
      </c>
      <c r="AQ51" s="9">
        <v>0.41</v>
      </c>
      <c r="AR51" s="9">
        <v>0.4</v>
      </c>
      <c r="AS51" s="9">
        <v>0.27</v>
      </c>
      <c r="AT51" s="9">
        <v>0.29</v>
      </c>
      <c r="AU51" s="9">
        <v>0.22</v>
      </c>
      <c r="AV51" s="10">
        <v>0.34912074402840326</v>
      </c>
      <c r="AW51" s="9">
        <v>0.38</v>
      </c>
      <c r="AX51" s="9">
        <v>0.43</v>
      </c>
      <c r="AY51" s="9">
        <v>0.19</v>
      </c>
      <c r="AZ51" s="9">
        <v>0.14</v>
      </c>
      <c r="BA51" s="9">
        <v>0.38</v>
      </c>
      <c r="BB51" s="9">
        <v>0.56</v>
      </c>
      <c r="BC51" s="9">
        <v>0.37</v>
      </c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15">
      <c r="A52" s="1" t="s">
        <v>94</v>
      </c>
      <c r="B52" s="1" t="s">
        <v>60</v>
      </c>
      <c r="C52" s="1" t="s">
        <v>69</v>
      </c>
      <c r="D52" s="10">
        <v>0.5186011906911041</v>
      </c>
      <c r="E52" s="9">
        <v>0.51</v>
      </c>
      <c r="F52" s="9">
        <v>0.4</v>
      </c>
      <c r="G52" s="9">
        <v>0.56</v>
      </c>
      <c r="H52" s="9">
        <v>0.43</v>
      </c>
      <c r="I52" s="9">
        <v>0.52</v>
      </c>
      <c r="J52" s="9">
        <v>0.69</v>
      </c>
      <c r="K52" s="10">
        <v>0.5474619853852206</v>
      </c>
      <c r="L52" s="9">
        <v>0.61</v>
      </c>
      <c r="M52" s="9">
        <v>0.4</v>
      </c>
      <c r="N52" s="9">
        <v>0.74</v>
      </c>
      <c r="O52" s="9">
        <v>0.44</v>
      </c>
      <c r="P52" s="10">
        <v>0.7507544289255906</v>
      </c>
      <c r="Q52" s="9">
        <v>0.78</v>
      </c>
      <c r="R52" s="9">
        <v>1</v>
      </c>
      <c r="S52" s="9">
        <v>0.47</v>
      </c>
      <c r="T52" s="10">
        <v>0.6375067476198477</v>
      </c>
      <c r="U52" s="9">
        <v>0.68</v>
      </c>
      <c r="V52" s="9">
        <v>0.68</v>
      </c>
      <c r="W52" s="9">
        <v>0.54</v>
      </c>
      <c r="X52" s="9">
        <v>0.53</v>
      </c>
      <c r="Y52" s="9">
        <v>0.77</v>
      </c>
      <c r="Z52" s="9">
        <v>0.58</v>
      </c>
      <c r="AA52" s="9">
        <v>0.71</v>
      </c>
      <c r="AB52" s="9">
        <v>0.61</v>
      </c>
      <c r="AC52" s="10">
        <v>0.6231014771319918</v>
      </c>
      <c r="AD52" s="9">
        <v>0.71</v>
      </c>
      <c r="AE52" s="9">
        <v>0.73</v>
      </c>
      <c r="AF52" s="9">
        <v>0.56</v>
      </c>
      <c r="AG52" s="9">
        <v>0.49</v>
      </c>
      <c r="AH52" s="10">
        <v>0.5610221687190691</v>
      </c>
      <c r="AI52" s="9">
        <v>0.47</v>
      </c>
      <c r="AJ52" s="9">
        <v>0.54</v>
      </c>
      <c r="AK52" s="9">
        <v>0.61</v>
      </c>
      <c r="AL52" s="9">
        <v>0.53</v>
      </c>
      <c r="AM52" s="9">
        <v>0.66</v>
      </c>
      <c r="AN52" s="10">
        <v>0.5323103407083881</v>
      </c>
      <c r="AO52" s="9">
        <v>0.67</v>
      </c>
      <c r="AP52" s="9">
        <v>0.54</v>
      </c>
      <c r="AQ52" s="9">
        <v>0.36</v>
      </c>
      <c r="AR52" s="9">
        <v>0.62</v>
      </c>
      <c r="AS52" s="9">
        <v>0.37</v>
      </c>
      <c r="AT52" s="9">
        <v>0.55</v>
      </c>
      <c r="AU52" s="9">
        <v>0.61</v>
      </c>
      <c r="AV52" s="10">
        <v>0.5340233356379326</v>
      </c>
      <c r="AW52" s="9">
        <v>0.56</v>
      </c>
      <c r="AX52" s="9">
        <v>0.44</v>
      </c>
      <c r="AY52" s="9">
        <v>0.42</v>
      </c>
      <c r="AZ52" s="9">
        <v>0.66</v>
      </c>
      <c r="BA52" s="9">
        <v>0.58</v>
      </c>
      <c r="BB52" s="9">
        <v>0.54</v>
      </c>
      <c r="BC52" s="9">
        <v>0.54</v>
      </c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15">
      <c r="A53" s="1" t="s">
        <v>95</v>
      </c>
      <c r="B53" s="1" t="s">
        <v>65</v>
      </c>
      <c r="C53" s="1" t="s">
        <v>73</v>
      </c>
      <c r="D53" s="10">
        <v>0.45265038681347475</v>
      </c>
      <c r="E53" s="9">
        <v>0.5</v>
      </c>
      <c r="F53" s="9">
        <v>0.41</v>
      </c>
      <c r="G53" s="9">
        <v>0.45</v>
      </c>
      <c r="H53" s="9">
        <v>0.44</v>
      </c>
      <c r="I53" s="9">
        <v>0.47</v>
      </c>
      <c r="J53" s="9">
        <v>0.45</v>
      </c>
      <c r="K53" s="10">
        <v>0.38931293720442073</v>
      </c>
      <c r="L53" s="9">
        <v>0.46</v>
      </c>
      <c r="M53" s="9">
        <v>0.43</v>
      </c>
      <c r="N53" s="9">
        <v>0.39</v>
      </c>
      <c r="O53" s="9">
        <v>0.28</v>
      </c>
      <c r="P53" s="10">
        <v>0.7602151058418175</v>
      </c>
      <c r="Q53" s="9">
        <v>0.73</v>
      </c>
      <c r="R53" s="9">
        <v>0.92</v>
      </c>
      <c r="S53" s="9">
        <v>0.64</v>
      </c>
      <c r="T53" s="10">
        <v>0.5756558486660007</v>
      </c>
      <c r="U53" s="9">
        <v>0.66</v>
      </c>
      <c r="V53" s="9">
        <v>0.51</v>
      </c>
      <c r="W53" s="9">
        <v>0.45</v>
      </c>
      <c r="X53" s="9">
        <v>0.47</v>
      </c>
      <c r="Y53" s="9">
        <v>0.85</v>
      </c>
      <c r="Z53" s="9">
        <v>0.33</v>
      </c>
      <c r="AA53" s="9">
        <v>0.6</v>
      </c>
      <c r="AB53" s="9">
        <v>0.74</v>
      </c>
      <c r="AC53" s="10">
        <v>0.49872039776999044</v>
      </c>
      <c r="AD53" s="9">
        <v>0.51</v>
      </c>
      <c r="AE53" s="9">
        <v>0.86</v>
      </c>
      <c r="AF53" s="9">
        <v>0.37</v>
      </c>
      <c r="AG53" s="9">
        <v>0.26</v>
      </c>
      <c r="AH53" s="10">
        <v>0.46033128136524226</v>
      </c>
      <c r="AI53" s="9">
        <v>0.49</v>
      </c>
      <c r="AJ53" s="9">
        <v>0.48</v>
      </c>
      <c r="AK53" s="9">
        <v>0.37</v>
      </c>
      <c r="AL53" s="9">
        <v>0.46</v>
      </c>
      <c r="AM53" s="9">
        <v>0.51</v>
      </c>
      <c r="AN53" s="10">
        <v>0.5349744945237483</v>
      </c>
      <c r="AO53" s="9">
        <v>0.5</v>
      </c>
      <c r="AP53" s="9">
        <v>0.88</v>
      </c>
      <c r="AQ53" s="9">
        <v>0.41</v>
      </c>
      <c r="AR53" s="9">
        <v>0.54</v>
      </c>
      <c r="AS53" s="9">
        <v>0.25</v>
      </c>
      <c r="AT53" s="9">
        <v>0.42</v>
      </c>
      <c r="AU53" s="9">
        <v>0.75</v>
      </c>
      <c r="AV53" s="10">
        <v>0.4949091644186444</v>
      </c>
      <c r="AW53" s="9">
        <v>0.54</v>
      </c>
      <c r="AX53" s="9">
        <v>0.61</v>
      </c>
      <c r="AY53" s="9">
        <v>0.45</v>
      </c>
      <c r="AZ53" s="9">
        <v>0.49</v>
      </c>
      <c r="BA53" s="9">
        <v>0.34</v>
      </c>
      <c r="BB53" s="9">
        <v>0.58</v>
      </c>
      <c r="BC53" s="9">
        <v>0.45</v>
      </c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15">
      <c r="A54" s="1" t="s">
        <v>96</v>
      </c>
      <c r="B54" s="1" t="s">
        <v>65</v>
      </c>
      <c r="C54" s="1" t="s">
        <v>73</v>
      </c>
      <c r="D54" s="10">
        <v>0.4852633578116219</v>
      </c>
      <c r="E54" s="9">
        <v>0.53</v>
      </c>
      <c r="F54" s="9">
        <v>0.51</v>
      </c>
      <c r="G54" s="9">
        <v>0.43</v>
      </c>
      <c r="H54" s="9">
        <v>0.44</v>
      </c>
      <c r="I54" s="9">
        <v>0.49</v>
      </c>
      <c r="J54" s="9">
        <v>0.51</v>
      </c>
      <c r="K54" s="10">
        <v>0.437999548395962</v>
      </c>
      <c r="L54" s="9">
        <v>0.41</v>
      </c>
      <c r="M54" s="9">
        <v>0.65</v>
      </c>
      <c r="N54" s="9">
        <v>0.38</v>
      </c>
      <c r="O54" s="9">
        <v>0.31</v>
      </c>
      <c r="P54" s="10">
        <v>0.6894054407799116</v>
      </c>
      <c r="Q54" s="9">
        <v>0.63</v>
      </c>
      <c r="R54" s="9">
        <v>1</v>
      </c>
      <c r="S54" s="9">
        <v>0.44</v>
      </c>
      <c r="T54" s="10">
        <v>0.47473204297579397</v>
      </c>
      <c r="U54" s="9">
        <v>0.56</v>
      </c>
      <c r="V54" s="9">
        <v>0.5</v>
      </c>
      <c r="W54" s="9">
        <v>0.32</v>
      </c>
      <c r="X54" s="9">
        <v>0.5</v>
      </c>
      <c r="Y54" s="9">
        <v>0.54</v>
      </c>
      <c r="Z54" s="9">
        <v>0.39</v>
      </c>
      <c r="AA54" s="9">
        <v>0.58</v>
      </c>
      <c r="AB54" s="9">
        <v>0.41</v>
      </c>
      <c r="AC54" s="10">
        <v>0.4278841007554233</v>
      </c>
      <c r="AD54" s="9">
        <v>0.4</v>
      </c>
      <c r="AE54" s="9">
        <v>0.42</v>
      </c>
      <c r="AF54" s="9">
        <v>0.61</v>
      </c>
      <c r="AG54" s="9">
        <v>0.29</v>
      </c>
      <c r="AH54" s="10">
        <v>0.4498630073600701</v>
      </c>
      <c r="AI54" s="9">
        <v>0.36</v>
      </c>
      <c r="AJ54" s="9">
        <v>0.4</v>
      </c>
      <c r="AK54" s="9">
        <v>0.56</v>
      </c>
      <c r="AL54" s="9">
        <v>0.39</v>
      </c>
      <c r="AM54" s="9">
        <v>0.54</v>
      </c>
      <c r="AN54" s="10">
        <v>0.5943489494045396</v>
      </c>
      <c r="AO54" s="9">
        <v>0.56</v>
      </c>
      <c r="AP54" s="9">
        <v>0.75</v>
      </c>
      <c r="AQ54" s="9">
        <v>0.61</v>
      </c>
      <c r="AR54" s="9">
        <v>0.6</v>
      </c>
      <c r="AS54" s="9">
        <v>0.41</v>
      </c>
      <c r="AT54" s="9">
        <v>0.5</v>
      </c>
      <c r="AU54" s="9">
        <v>0.74</v>
      </c>
      <c r="AV54" s="10">
        <v>0.4512026543385468</v>
      </c>
      <c r="AW54" s="9">
        <v>0.55</v>
      </c>
      <c r="AX54" s="9">
        <v>0.57</v>
      </c>
      <c r="AY54" s="9">
        <v>0.18</v>
      </c>
      <c r="AZ54" s="9">
        <v>0.48</v>
      </c>
      <c r="BA54" s="9">
        <v>0.42</v>
      </c>
      <c r="BB54" s="9">
        <v>0.65</v>
      </c>
      <c r="BC54" s="9">
        <v>0.32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15">
      <c r="A55" s="1" t="s">
        <v>26</v>
      </c>
      <c r="B55" s="1" t="s">
        <v>62</v>
      </c>
      <c r="C55" s="1" t="s">
        <v>69</v>
      </c>
      <c r="D55" s="10">
        <v>0.5675680396533623</v>
      </c>
      <c r="E55" s="9">
        <v>0.69</v>
      </c>
      <c r="F55" s="9">
        <v>0.59</v>
      </c>
      <c r="G55" s="9">
        <v>0.56</v>
      </c>
      <c r="H55" s="9">
        <v>0.58</v>
      </c>
      <c r="I55" s="9">
        <v>0.4</v>
      </c>
      <c r="J55" s="9">
        <v>0.59</v>
      </c>
      <c r="K55" s="10">
        <v>0.6870029580495124</v>
      </c>
      <c r="L55" s="9">
        <v>0.63</v>
      </c>
      <c r="M55" s="9">
        <v>0.66</v>
      </c>
      <c r="N55" s="9">
        <v>0.75</v>
      </c>
      <c r="O55" s="9">
        <v>0.71</v>
      </c>
      <c r="P55" s="10">
        <v>0.8552477157285132</v>
      </c>
      <c r="Q55" s="9">
        <v>0.78</v>
      </c>
      <c r="R55" s="9">
        <v>1</v>
      </c>
      <c r="S55" s="9">
        <v>0.79</v>
      </c>
      <c r="T55" s="10">
        <v>0.4997431273119438</v>
      </c>
      <c r="U55" s="9">
        <v>0.69</v>
      </c>
      <c r="V55" s="9">
        <v>0.57</v>
      </c>
      <c r="W55" s="9">
        <v>0.59</v>
      </c>
      <c r="X55" s="9">
        <v>0.4</v>
      </c>
      <c r="Y55" s="9">
        <v>0.27</v>
      </c>
      <c r="Z55" s="9">
        <v>0.51</v>
      </c>
      <c r="AA55" s="9">
        <v>0.34</v>
      </c>
      <c r="AB55" s="9">
        <v>0.63</v>
      </c>
      <c r="AC55" s="10">
        <v>0.48361213446887474</v>
      </c>
      <c r="AD55" s="9">
        <v>0.65</v>
      </c>
      <c r="AE55" s="9">
        <v>0.61</v>
      </c>
      <c r="AF55" s="9">
        <v>0.45</v>
      </c>
      <c r="AG55" s="9">
        <v>0.23</v>
      </c>
      <c r="AH55" s="10">
        <v>0.523451597965302</v>
      </c>
      <c r="AI55" s="9">
        <v>0.45</v>
      </c>
      <c r="AJ55" s="9">
        <v>0.6</v>
      </c>
      <c r="AK55" s="9">
        <v>0.57</v>
      </c>
      <c r="AL55" s="9">
        <v>0.6</v>
      </c>
      <c r="AM55" s="9">
        <v>0.39</v>
      </c>
      <c r="AN55" s="10">
        <v>0.5723684875031292</v>
      </c>
      <c r="AO55" s="9">
        <v>0.61</v>
      </c>
      <c r="AP55" s="9">
        <v>0.6</v>
      </c>
      <c r="AQ55" s="9">
        <v>0.71</v>
      </c>
      <c r="AR55" s="9">
        <v>0.37</v>
      </c>
      <c r="AS55" s="9">
        <v>0.53</v>
      </c>
      <c r="AT55" s="9">
        <v>0.48</v>
      </c>
      <c r="AU55" s="9">
        <v>0.71</v>
      </c>
      <c r="AV55" s="10">
        <v>0.6114824017144268</v>
      </c>
      <c r="AW55" s="9">
        <v>0.72</v>
      </c>
      <c r="AX55" s="9">
        <v>0.75</v>
      </c>
      <c r="AY55" s="9">
        <v>0.44</v>
      </c>
      <c r="AZ55" s="9">
        <v>0.54</v>
      </c>
      <c r="BA55" s="9">
        <v>0.72</v>
      </c>
      <c r="BB55" s="9">
        <v>0.5</v>
      </c>
      <c r="BC55" s="9">
        <v>0.59</v>
      </c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15">
      <c r="A56" s="1" t="s">
        <v>27</v>
      </c>
      <c r="B56" s="1" t="s">
        <v>61</v>
      </c>
      <c r="C56" s="1" t="s">
        <v>69</v>
      </c>
      <c r="D56" s="10">
        <v>0.5513359045460345</v>
      </c>
      <c r="E56" s="9">
        <v>0.72</v>
      </c>
      <c r="F56" s="9">
        <v>0.49</v>
      </c>
      <c r="G56" s="9">
        <v>0.49</v>
      </c>
      <c r="H56" s="9">
        <v>0.29</v>
      </c>
      <c r="I56" s="9">
        <v>0.63</v>
      </c>
      <c r="J56" s="9">
        <v>0.68</v>
      </c>
      <c r="K56" s="10">
        <v>0.3675316771819303</v>
      </c>
      <c r="L56" s="9">
        <v>0.49</v>
      </c>
      <c r="M56" s="9">
        <v>0.34</v>
      </c>
      <c r="N56" s="9">
        <v>0.31</v>
      </c>
      <c r="O56" s="9">
        <v>0.33</v>
      </c>
      <c r="P56" s="10">
        <v>0.4961949720348015</v>
      </c>
      <c r="Q56" s="9">
        <v>0.44</v>
      </c>
      <c r="R56" s="9">
        <v>0.75</v>
      </c>
      <c r="S56" s="9">
        <v>0.3</v>
      </c>
      <c r="T56" s="10">
        <v>0.5639057875628043</v>
      </c>
      <c r="U56" s="9">
        <v>0.39</v>
      </c>
      <c r="V56" s="9">
        <v>0.49</v>
      </c>
      <c r="W56" s="9">
        <v>0.37</v>
      </c>
      <c r="X56" s="9">
        <v>0.64</v>
      </c>
      <c r="Y56" s="9">
        <v>0.63</v>
      </c>
      <c r="Z56" s="9">
        <v>0.63</v>
      </c>
      <c r="AA56" s="9">
        <v>0.71</v>
      </c>
      <c r="AB56" s="9">
        <v>0.65</v>
      </c>
      <c r="AC56" s="10">
        <v>0.5322130269264893</v>
      </c>
      <c r="AD56" s="9">
        <v>0.53</v>
      </c>
      <c r="AE56" s="9">
        <v>0.65</v>
      </c>
      <c r="AF56" s="9">
        <v>0.47</v>
      </c>
      <c r="AG56" s="9">
        <v>0.48</v>
      </c>
      <c r="AH56" s="10">
        <v>0.48701089284242477</v>
      </c>
      <c r="AI56" s="9">
        <v>0.43</v>
      </c>
      <c r="AJ56" s="9">
        <v>0.48</v>
      </c>
      <c r="AK56" s="9">
        <v>0.52</v>
      </c>
      <c r="AL56" s="9">
        <v>0.47</v>
      </c>
      <c r="AM56" s="9">
        <v>0.54</v>
      </c>
      <c r="AN56" s="10">
        <v>0.40132791814164337</v>
      </c>
      <c r="AO56" s="9">
        <v>0.48</v>
      </c>
      <c r="AP56" s="9">
        <v>0.29</v>
      </c>
      <c r="AQ56" s="9">
        <v>0.37</v>
      </c>
      <c r="AR56" s="9">
        <v>0.54</v>
      </c>
      <c r="AS56" s="9">
        <v>0.3</v>
      </c>
      <c r="AT56" s="9">
        <v>0.28</v>
      </c>
      <c r="AU56" s="9">
        <v>0.54</v>
      </c>
      <c r="AV56" s="10">
        <v>0.3505412225726317</v>
      </c>
      <c r="AW56" s="9">
        <v>0.43</v>
      </c>
      <c r="AX56" s="9">
        <v>0.34</v>
      </c>
      <c r="AY56" s="9">
        <v>0.16</v>
      </c>
      <c r="AZ56" s="9">
        <v>0.31</v>
      </c>
      <c r="BA56" s="9">
        <v>0.29</v>
      </c>
      <c r="BB56" s="9">
        <v>0.55</v>
      </c>
      <c r="BC56" s="9">
        <v>0.37</v>
      </c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15">
      <c r="A57" s="1" t="s">
        <v>97</v>
      </c>
      <c r="B57" s="1" t="s">
        <v>60</v>
      </c>
      <c r="C57" s="1" t="s">
        <v>68</v>
      </c>
      <c r="D57" s="10">
        <v>0.43432022501373413</v>
      </c>
      <c r="E57" s="9">
        <v>0.53</v>
      </c>
      <c r="F57" s="9">
        <v>0.34</v>
      </c>
      <c r="G57" s="9">
        <v>0.42</v>
      </c>
      <c r="H57" s="9">
        <v>0.29</v>
      </c>
      <c r="I57" s="9">
        <v>0.5</v>
      </c>
      <c r="J57" s="9">
        <v>0.53</v>
      </c>
      <c r="K57" s="10">
        <v>0.3291082173783849</v>
      </c>
      <c r="L57" s="9">
        <v>0.45</v>
      </c>
      <c r="M57" s="9">
        <v>0.17</v>
      </c>
      <c r="N57" s="9">
        <v>0.41</v>
      </c>
      <c r="O57" s="9">
        <v>0.29</v>
      </c>
      <c r="P57" s="10">
        <v>0.7665103139334583</v>
      </c>
      <c r="Q57" s="9">
        <v>0.77</v>
      </c>
      <c r="R57" s="9">
        <v>1</v>
      </c>
      <c r="S57" s="9">
        <v>0.53</v>
      </c>
      <c r="T57" s="10">
        <v>0.5396879926798835</v>
      </c>
      <c r="U57" s="9">
        <v>0.63</v>
      </c>
      <c r="V57" s="9">
        <v>0.53</v>
      </c>
      <c r="W57" s="9">
        <v>0.36</v>
      </c>
      <c r="X57" s="9">
        <v>0.5</v>
      </c>
      <c r="Y57" s="9">
        <v>0.59</v>
      </c>
      <c r="Z57" s="9">
        <v>0.46</v>
      </c>
      <c r="AA57" s="9">
        <v>0.65</v>
      </c>
      <c r="AB57" s="9">
        <v>0.59</v>
      </c>
      <c r="AC57" s="10">
        <v>0.43216876582470237</v>
      </c>
      <c r="AD57" s="9">
        <v>0.54</v>
      </c>
      <c r="AE57" s="9">
        <v>0.29</v>
      </c>
      <c r="AF57" s="9">
        <v>0.38</v>
      </c>
      <c r="AG57" s="9">
        <v>0.51</v>
      </c>
      <c r="AH57" s="10">
        <v>0.38923046734796063</v>
      </c>
      <c r="AI57" s="9">
        <v>0.49</v>
      </c>
      <c r="AJ57" s="9">
        <v>0.46</v>
      </c>
      <c r="AK57" s="9">
        <v>0.36</v>
      </c>
      <c r="AL57" s="9">
        <v>0.21</v>
      </c>
      <c r="AM57" s="9">
        <v>0.43</v>
      </c>
      <c r="AN57" s="10">
        <v>0.41639734483525154</v>
      </c>
      <c r="AO57" s="9">
        <v>0.59</v>
      </c>
      <c r="AP57" s="9">
        <v>0.58</v>
      </c>
      <c r="AQ57" s="9">
        <v>0.2</v>
      </c>
      <c r="AR57" s="9">
        <v>0.4</v>
      </c>
      <c r="AS57" s="9">
        <v>0.32</v>
      </c>
      <c r="AT57" s="9">
        <v>0.41</v>
      </c>
      <c r="AU57" s="9">
        <v>0.43</v>
      </c>
      <c r="AV57" s="10">
        <v>0.4039829815621055</v>
      </c>
      <c r="AW57" s="9">
        <v>0.57</v>
      </c>
      <c r="AX57" s="9">
        <v>0.54</v>
      </c>
      <c r="AY57" s="9">
        <v>0.22</v>
      </c>
      <c r="AZ57" s="9">
        <v>0.52</v>
      </c>
      <c r="BA57" s="9">
        <v>0.29</v>
      </c>
      <c r="BB57" s="9">
        <v>0.33</v>
      </c>
      <c r="BC57" s="9">
        <v>0.36</v>
      </c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15">
      <c r="A58" s="1" t="s">
        <v>98</v>
      </c>
      <c r="B58" s="1" t="s">
        <v>62</v>
      </c>
      <c r="C58" s="1" t="s">
        <v>68</v>
      </c>
      <c r="D58" s="10">
        <v>0.5010351472476002</v>
      </c>
      <c r="E58" s="9">
        <v>0.62</v>
      </c>
      <c r="F58" s="9">
        <v>0.42</v>
      </c>
      <c r="G58" s="9">
        <v>0.35</v>
      </c>
      <c r="H58" s="9">
        <v>0.38</v>
      </c>
      <c r="I58" s="9">
        <v>0.62</v>
      </c>
      <c r="J58" s="9">
        <v>0.61</v>
      </c>
      <c r="K58" s="10">
        <v>0.40471460405454135</v>
      </c>
      <c r="L58" s="9">
        <v>0.45</v>
      </c>
      <c r="M58" s="9">
        <v>0.46</v>
      </c>
      <c r="N58" s="9">
        <v>0.54</v>
      </c>
      <c r="O58" s="9">
        <v>0.16</v>
      </c>
      <c r="P58" s="10">
        <v>0.7456149227591476</v>
      </c>
      <c r="Q58" s="9">
        <v>0.71</v>
      </c>
      <c r="R58" s="9">
        <v>1</v>
      </c>
      <c r="S58" s="9">
        <v>0.52</v>
      </c>
      <c r="T58" s="10">
        <v>0.6202573217422598</v>
      </c>
      <c r="U58" s="9">
        <v>0.67</v>
      </c>
      <c r="V58" s="9">
        <v>0.63</v>
      </c>
      <c r="W58" s="9">
        <v>0.46</v>
      </c>
      <c r="X58" s="9">
        <v>0.62</v>
      </c>
      <c r="Y58" s="9">
        <v>0.72</v>
      </c>
      <c r="Z58" s="9">
        <v>0.46</v>
      </c>
      <c r="AA58" s="9">
        <v>0.72</v>
      </c>
      <c r="AB58" s="9">
        <v>0.68</v>
      </c>
      <c r="AC58" s="10">
        <v>0.3473671613007954</v>
      </c>
      <c r="AD58" s="9">
        <v>0.38</v>
      </c>
      <c r="AE58" s="9">
        <v>0.48</v>
      </c>
      <c r="AF58" s="9">
        <v>0.25</v>
      </c>
      <c r="AG58" s="9">
        <v>0.28</v>
      </c>
      <c r="AH58" s="10">
        <v>0.4752115822319455</v>
      </c>
      <c r="AI58" s="9">
        <v>0.49</v>
      </c>
      <c r="AJ58" s="9">
        <v>0.47</v>
      </c>
      <c r="AK58" s="9">
        <v>0.56</v>
      </c>
      <c r="AL58" s="9">
        <v>0.39</v>
      </c>
      <c r="AM58" s="9">
        <v>0.46</v>
      </c>
      <c r="AN58" s="10">
        <v>0.5267563328098779</v>
      </c>
      <c r="AO58" s="9">
        <v>0.55</v>
      </c>
      <c r="AP58" s="9">
        <v>0.6</v>
      </c>
      <c r="AQ58" s="9">
        <v>0.47</v>
      </c>
      <c r="AR58" s="9">
        <v>0.53</v>
      </c>
      <c r="AS58" s="9">
        <v>0.6</v>
      </c>
      <c r="AT58" s="9">
        <v>0.51</v>
      </c>
      <c r="AU58" s="9">
        <v>0.42</v>
      </c>
      <c r="AV58" s="10">
        <v>0.5436862357274692</v>
      </c>
      <c r="AW58" s="9">
        <v>0.47</v>
      </c>
      <c r="AX58" s="9">
        <v>0.58</v>
      </c>
      <c r="AY58" s="9">
        <v>0.53</v>
      </c>
      <c r="AZ58" s="9">
        <v>0.64</v>
      </c>
      <c r="BA58" s="9">
        <v>0.5</v>
      </c>
      <c r="BB58" s="9">
        <v>0.63</v>
      </c>
      <c r="BC58" s="9">
        <v>0.46</v>
      </c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15">
      <c r="A59" s="1" t="s">
        <v>99</v>
      </c>
      <c r="B59" s="1" t="s">
        <v>66</v>
      </c>
      <c r="C59" s="1" t="s">
        <v>68</v>
      </c>
      <c r="D59" s="10">
        <v>0.5684162418296035</v>
      </c>
      <c r="E59" s="9">
        <v>0.67</v>
      </c>
      <c r="F59" s="9">
        <v>0.53</v>
      </c>
      <c r="G59" s="9">
        <v>0.42</v>
      </c>
      <c r="H59" s="9">
        <v>0.49</v>
      </c>
      <c r="I59" s="9">
        <v>0.55</v>
      </c>
      <c r="J59" s="9">
        <v>0.77</v>
      </c>
      <c r="K59" s="10">
        <v>0.3261892841501585</v>
      </c>
      <c r="L59" s="9">
        <v>0.37</v>
      </c>
      <c r="M59" s="9">
        <v>0.38</v>
      </c>
      <c r="N59" s="9">
        <v>0.28</v>
      </c>
      <c r="O59" s="9">
        <v>0.28</v>
      </c>
      <c r="P59" s="10">
        <v>0.7212423216571545</v>
      </c>
      <c r="Q59" s="9">
        <v>0.83</v>
      </c>
      <c r="R59" s="9">
        <v>0.92</v>
      </c>
      <c r="S59" s="9">
        <v>0.42</v>
      </c>
      <c r="T59" s="10">
        <v>0.47539674346450933</v>
      </c>
      <c r="U59" s="9">
        <v>0.53</v>
      </c>
      <c r="V59" s="9">
        <v>0.35</v>
      </c>
      <c r="W59" s="9">
        <v>0.32</v>
      </c>
      <c r="X59" s="9">
        <v>0.55</v>
      </c>
      <c r="Y59" s="9">
        <v>0.46</v>
      </c>
      <c r="Z59" s="9">
        <v>0.21</v>
      </c>
      <c r="AA59" s="9">
        <v>0.75</v>
      </c>
      <c r="AB59" s="9">
        <v>0.64</v>
      </c>
      <c r="AC59" s="10">
        <v>0.5103093698460959</v>
      </c>
      <c r="AD59" s="9">
        <v>0.58</v>
      </c>
      <c r="AE59" s="9">
        <v>0.54</v>
      </c>
      <c r="AF59" s="9">
        <v>0.48</v>
      </c>
      <c r="AG59" s="9">
        <v>0.44</v>
      </c>
      <c r="AH59" s="10">
        <v>0.473650152518066</v>
      </c>
      <c r="AI59" s="9">
        <v>0.39</v>
      </c>
      <c r="AJ59" s="9">
        <v>0.4</v>
      </c>
      <c r="AK59" s="9">
        <v>0.45</v>
      </c>
      <c r="AL59" s="9">
        <v>0.45</v>
      </c>
      <c r="AM59" s="9">
        <v>0.7</v>
      </c>
      <c r="AN59" s="10">
        <v>0.5390035051373612</v>
      </c>
      <c r="AO59" s="9">
        <v>0.49</v>
      </c>
      <c r="AP59" s="9">
        <v>0.76</v>
      </c>
      <c r="AQ59" s="9">
        <v>0.39</v>
      </c>
      <c r="AR59" s="9">
        <v>0.58</v>
      </c>
      <c r="AS59" s="9">
        <v>0.52</v>
      </c>
      <c r="AT59" s="9">
        <v>0.45</v>
      </c>
      <c r="AU59" s="9">
        <v>0.59</v>
      </c>
      <c r="AV59" s="10">
        <v>0.35418598877015156</v>
      </c>
      <c r="AW59" s="9">
        <v>0.6</v>
      </c>
      <c r="AX59" s="9">
        <v>0.48</v>
      </c>
      <c r="AY59" s="9">
        <v>0.17</v>
      </c>
      <c r="AZ59" s="9">
        <v>0.2</v>
      </c>
      <c r="BA59" s="9">
        <v>0.32</v>
      </c>
      <c r="BB59" s="9">
        <v>0.39</v>
      </c>
      <c r="BC59" s="9">
        <v>0.32</v>
      </c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15">
      <c r="A60" s="1" t="s">
        <v>100</v>
      </c>
      <c r="B60" s="1" t="s">
        <v>64</v>
      </c>
      <c r="C60" s="1" t="s">
        <v>73</v>
      </c>
      <c r="D60" s="10">
        <v>0.5071240008264969</v>
      </c>
      <c r="E60" s="9">
        <v>0.6</v>
      </c>
      <c r="F60" s="9">
        <v>0.55</v>
      </c>
      <c r="G60" s="9">
        <v>0.35</v>
      </c>
      <c r="H60" s="9">
        <v>0.32</v>
      </c>
      <c r="I60" s="9">
        <v>0.6</v>
      </c>
      <c r="J60" s="9">
        <v>0.61</v>
      </c>
      <c r="K60" s="10">
        <v>0.3981133164665761</v>
      </c>
      <c r="L60" s="9">
        <v>0.5</v>
      </c>
      <c r="M60" s="9">
        <v>0.3</v>
      </c>
      <c r="N60" s="9">
        <v>0.61</v>
      </c>
      <c r="O60" s="9">
        <v>0.18</v>
      </c>
      <c r="P60" s="10">
        <v>0.6860232711444003</v>
      </c>
      <c r="Q60" s="9">
        <v>0.82</v>
      </c>
      <c r="R60" s="9">
        <v>0.75</v>
      </c>
      <c r="S60" s="9">
        <v>0.49</v>
      </c>
      <c r="T60" s="10">
        <v>0.5890227798279556</v>
      </c>
      <c r="U60" s="9">
        <v>0.68</v>
      </c>
      <c r="V60" s="9">
        <v>0.62</v>
      </c>
      <c r="W60" s="9">
        <v>0.48</v>
      </c>
      <c r="X60" s="9">
        <v>0.61</v>
      </c>
      <c r="Y60" s="9">
        <v>0.61</v>
      </c>
      <c r="Z60" s="9">
        <v>0.54</v>
      </c>
      <c r="AA60" s="9">
        <v>0.6</v>
      </c>
      <c r="AB60" s="9">
        <v>0.56</v>
      </c>
      <c r="AC60" s="10">
        <v>0.3807357672191127</v>
      </c>
      <c r="AD60" s="9">
        <v>0.42</v>
      </c>
      <c r="AE60" s="9">
        <v>0.2</v>
      </c>
      <c r="AF60" s="9">
        <v>0.49</v>
      </c>
      <c r="AG60" s="9">
        <v>0.41</v>
      </c>
      <c r="AH60" s="10">
        <v>0.4404162038581389</v>
      </c>
      <c r="AI60" s="9">
        <v>0.42</v>
      </c>
      <c r="AJ60" s="9">
        <v>0.45</v>
      </c>
      <c r="AK60" s="9">
        <v>0.27</v>
      </c>
      <c r="AL60" s="9">
        <v>0.53</v>
      </c>
      <c r="AM60" s="9">
        <v>0.53</v>
      </c>
      <c r="AN60" s="10">
        <v>0.4296301750403605</v>
      </c>
      <c r="AO60" s="9">
        <v>0.31</v>
      </c>
      <c r="AP60" s="9">
        <v>0.6</v>
      </c>
      <c r="AQ60" s="9">
        <v>0.27</v>
      </c>
      <c r="AR60" s="9">
        <v>0.62</v>
      </c>
      <c r="AS60" s="9">
        <v>0.33</v>
      </c>
      <c r="AT60" s="9">
        <v>0.31</v>
      </c>
      <c r="AU60" s="9">
        <v>0.56</v>
      </c>
      <c r="AV60" s="10">
        <v>0.5387764969064525</v>
      </c>
      <c r="AW60" s="9">
        <v>0.5</v>
      </c>
      <c r="AX60" s="9">
        <v>0.54</v>
      </c>
      <c r="AY60" s="9">
        <v>0.35</v>
      </c>
      <c r="AZ60" s="9">
        <v>0.63</v>
      </c>
      <c r="BA60" s="9">
        <v>0.6</v>
      </c>
      <c r="BB60" s="9">
        <v>0.67</v>
      </c>
      <c r="BC60" s="9">
        <v>0.48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15">
      <c r="A61" s="1" t="s">
        <v>101</v>
      </c>
      <c r="B61" s="1" t="s">
        <v>63</v>
      </c>
      <c r="C61" s="1" t="s">
        <v>71</v>
      </c>
      <c r="D61" s="10">
        <v>0.8575948328477185</v>
      </c>
      <c r="E61" s="9">
        <v>0.87</v>
      </c>
      <c r="F61" s="9">
        <v>0.84</v>
      </c>
      <c r="G61" s="9">
        <v>0.86</v>
      </c>
      <c r="H61" s="9">
        <v>0.77</v>
      </c>
      <c r="I61" s="9">
        <v>0.9</v>
      </c>
      <c r="J61" s="9">
        <v>0.91</v>
      </c>
      <c r="K61" s="10">
        <v>0.9307893173789292</v>
      </c>
      <c r="L61" s="9">
        <v>0.91</v>
      </c>
      <c r="M61" s="9">
        <v>0.93</v>
      </c>
      <c r="N61" s="9">
        <v>0.96</v>
      </c>
      <c r="O61" s="9">
        <v>0.92</v>
      </c>
      <c r="P61" s="10">
        <v>0.858892531097175</v>
      </c>
      <c r="Q61" s="9">
        <v>0.91</v>
      </c>
      <c r="R61" s="9">
        <v>1</v>
      </c>
      <c r="S61" s="9">
        <v>0.67</v>
      </c>
      <c r="T61" s="10">
        <v>0.8366388614442037</v>
      </c>
      <c r="U61" s="9">
        <v>0.7</v>
      </c>
      <c r="V61" s="9">
        <v>0.94</v>
      </c>
      <c r="W61" s="9">
        <v>0.89</v>
      </c>
      <c r="X61" s="9">
        <v>0.9</v>
      </c>
      <c r="Y61" s="9">
        <v>0.88</v>
      </c>
      <c r="Z61" s="9">
        <v>0.85</v>
      </c>
      <c r="AA61" s="9">
        <v>0.98</v>
      </c>
      <c r="AB61" s="9">
        <v>0.55</v>
      </c>
      <c r="AC61" s="10">
        <v>0.9032151387672239</v>
      </c>
      <c r="AD61" s="9">
        <v>0.87</v>
      </c>
      <c r="AE61" s="9">
        <v>0.93</v>
      </c>
      <c r="AF61" s="9">
        <v>1</v>
      </c>
      <c r="AG61" s="9">
        <v>0.81</v>
      </c>
      <c r="AH61" s="10">
        <v>0.8272745225045013</v>
      </c>
      <c r="AI61" s="9">
        <v>0.77</v>
      </c>
      <c r="AJ61" s="9">
        <v>0.88</v>
      </c>
      <c r="AK61" s="9">
        <v>0.81</v>
      </c>
      <c r="AL61" s="9">
        <v>0.76</v>
      </c>
      <c r="AM61" s="9">
        <v>0.92</v>
      </c>
      <c r="AN61" s="10">
        <v>0.8034923209802055</v>
      </c>
      <c r="AO61" s="9">
        <v>0.73</v>
      </c>
      <c r="AP61" s="9">
        <v>0.84</v>
      </c>
      <c r="AQ61" s="9">
        <v>0.92</v>
      </c>
      <c r="AR61" s="9">
        <v>0.84</v>
      </c>
      <c r="AS61" s="9">
        <v>0.61</v>
      </c>
      <c r="AT61" s="9">
        <v>0.86</v>
      </c>
      <c r="AU61" s="9">
        <v>0.81</v>
      </c>
      <c r="AV61" s="10">
        <v>0.8005798331559209</v>
      </c>
      <c r="AW61" s="9">
        <v>0.6</v>
      </c>
      <c r="AX61" s="9">
        <v>0.7</v>
      </c>
      <c r="AY61" s="9">
        <v>0.79</v>
      </c>
      <c r="AZ61" s="9">
        <v>0.85</v>
      </c>
      <c r="BA61" s="9">
        <v>0.9</v>
      </c>
      <c r="BB61" s="9">
        <v>0.87</v>
      </c>
      <c r="BC61" s="9">
        <v>0.89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15">
      <c r="A62" s="1" t="s">
        <v>28</v>
      </c>
      <c r="B62" s="1" t="s">
        <v>62</v>
      </c>
      <c r="C62" s="1" t="s">
        <v>71</v>
      </c>
      <c r="D62" s="10">
        <v>0.867049475534139</v>
      </c>
      <c r="E62" s="9">
        <v>0.91</v>
      </c>
      <c r="F62" s="9">
        <v>0.91</v>
      </c>
      <c r="G62" s="9">
        <v>0.8</v>
      </c>
      <c r="H62" s="9">
        <v>0.8</v>
      </c>
      <c r="I62" s="9">
        <v>0.88</v>
      </c>
      <c r="J62" s="9">
        <v>0.9</v>
      </c>
      <c r="K62" s="10">
        <v>0.9218830160912995</v>
      </c>
      <c r="L62" s="9">
        <v>0.9</v>
      </c>
      <c r="M62" s="9">
        <v>0.94</v>
      </c>
      <c r="N62" s="9">
        <v>0.95</v>
      </c>
      <c r="O62" s="9">
        <v>0.89</v>
      </c>
      <c r="P62" s="10">
        <v>0.8715619851092048</v>
      </c>
      <c r="Q62" s="9">
        <v>0.86</v>
      </c>
      <c r="R62" s="9">
        <v>1</v>
      </c>
      <c r="S62" s="9">
        <v>0.76</v>
      </c>
      <c r="T62" s="10">
        <v>0.8607490654866529</v>
      </c>
      <c r="U62" s="9">
        <v>0.83</v>
      </c>
      <c r="V62" s="9">
        <v>0.92</v>
      </c>
      <c r="W62" s="9">
        <v>0.84</v>
      </c>
      <c r="X62" s="9">
        <v>0.88</v>
      </c>
      <c r="Y62" s="9">
        <v>0.89</v>
      </c>
      <c r="Z62" s="9">
        <v>0.86</v>
      </c>
      <c r="AA62" s="9">
        <v>0.82</v>
      </c>
      <c r="AB62" s="9">
        <v>0.85</v>
      </c>
      <c r="AC62" s="10">
        <v>0.8422474133326413</v>
      </c>
      <c r="AD62" s="9">
        <v>0.82</v>
      </c>
      <c r="AE62" s="9">
        <v>0.91</v>
      </c>
      <c r="AF62" s="9">
        <v>0.78</v>
      </c>
      <c r="AG62" s="9">
        <v>0.85</v>
      </c>
      <c r="AH62" s="10">
        <v>0.8209271152971725</v>
      </c>
      <c r="AI62" s="9">
        <v>0.79</v>
      </c>
      <c r="AJ62" s="9">
        <v>0.9</v>
      </c>
      <c r="AK62" s="9">
        <v>0.82</v>
      </c>
      <c r="AL62" s="9">
        <v>0.83</v>
      </c>
      <c r="AM62" s="9">
        <v>0.76</v>
      </c>
      <c r="AN62" s="10">
        <v>0.7599610722613173</v>
      </c>
      <c r="AO62" s="9">
        <v>0.74</v>
      </c>
      <c r="AP62" s="9">
        <v>0.72</v>
      </c>
      <c r="AQ62" s="9">
        <v>0.97</v>
      </c>
      <c r="AR62" s="9">
        <v>0.8</v>
      </c>
      <c r="AS62" s="9">
        <v>0.63</v>
      </c>
      <c r="AT62" s="9">
        <v>0.69</v>
      </c>
      <c r="AU62" s="9">
        <v>0.76</v>
      </c>
      <c r="AV62" s="10">
        <v>0.7937973990195555</v>
      </c>
      <c r="AW62" s="9">
        <v>0.79</v>
      </c>
      <c r="AX62" s="9">
        <v>0.72</v>
      </c>
      <c r="AY62" s="9">
        <v>0.63</v>
      </c>
      <c r="AZ62" s="9">
        <v>0.71</v>
      </c>
      <c r="BA62" s="9">
        <v>0.94</v>
      </c>
      <c r="BB62" s="9">
        <v>0.91</v>
      </c>
      <c r="BC62" s="9">
        <v>0.84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15">
      <c r="A63" s="1" t="s">
        <v>102</v>
      </c>
      <c r="B63" s="1" t="s">
        <v>61</v>
      </c>
      <c r="C63" s="1" t="s">
        <v>68</v>
      </c>
      <c r="D63" s="10">
        <v>0.3092512836499743</v>
      </c>
      <c r="E63" s="9">
        <v>0.38</v>
      </c>
      <c r="F63" s="9">
        <v>0.24</v>
      </c>
      <c r="G63" s="9">
        <v>0.24</v>
      </c>
      <c r="H63" s="9">
        <v>0.19</v>
      </c>
      <c r="I63" s="9">
        <v>0.5</v>
      </c>
      <c r="J63" s="9">
        <v>0.3</v>
      </c>
      <c r="K63" s="10">
        <v>0.3958789710469657</v>
      </c>
      <c r="L63" s="9">
        <v>0.56</v>
      </c>
      <c r="M63" s="9">
        <v>0.23</v>
      </c>
      <c r="N63" s="9">
        <v>0.5</v>
      </c>
      <c r="O63" s="9">
        <v>0.29</v>
      </c>
      <c r="P63" s="10">
        <v>0.6372697991227622</v>
      </c>
      <c r="Q63" s="9">
        <v>0.63</v>
      </c>
      <c r="R63" s="9">
        <v>1</v>
      </c>
      <c r="S63" s="9">
        <v>0.28</v>
      </c>
      <c r="T63" s="10">
        <v>0.5368981713300247</v>
      </c>
      <c r="U63" s="9">
        <v>0.48</v>
      </c>
      <c r="V63" s="9">
        <v>0.5</v>
      </c>
      <c r="W63" s="9">
        <v>0.39</v>
      </c>
      <c r="X63" s="9">
        <v>0.5</v>
      </c>
      <c r="Y63" s="9">
        <v>0.74</v>
      </c>
      <c r="Z63" s="9">
        <v>0.46</v>
      </c>
      <c r="AA63" s="9">
        <v>0.54</v>
      </c>
      <c r="AB63" s="9">
        <v>0.68</v>
      </c>
      <c r="AC63" s="10">
        <v>0.4769126670260064</v>
      </c>
      <c r="AD63" s="9">
        <v>0.54</v>
      </c>
      <c r="AE63" s="9">
        <v>0.56</v>
      </c>
      <c r="AF63" s="9">
        <v>0.5</v>
      </c>
      <c r="AG63" s="9">
        <v>0.31</v>
      </c>
      <c r="AH63" s="10">
        <v>0.4466216842672474</v>
      </c>
      <c r="AI63" s="9">
        <v>0.52</v>
      </c>
      <c r="AJ63" s="9">
        <v>0.54</v>
      </c>
      <c r="AK63" s="9">
        <v>0.39</v>
      </c>
      <c r="AL63" s="9">
        <v>0.37</v>
      </c>
      <c r="AM63" s="9">
        <v>0.42</v>
      </c>
      <c r="AN63" s="10">
        <v>0.42320953320992916</v>
      </c>
      <c r="AO63" s="9">
        <v>0.52</v>
      </c>
      <c r="AP63" s="9">
        <v>0.52</v>
      </c>
      <c r="AQ63" s="9">
        <v>0.24</v>
      </c>
      <c r="AR63" s="9">
        <v>0.37</v>
      </c>
      <c r="AS63" s="9">
        <v>0.29</v>
      </c>
      <c r="AT63" s="9">
        <v>0.34</v>
      </c>
      <c r="AU63" s="9">
        <v>0.69</v>
      </c>
      <c r="AV63" s="10">
        <v>0.4230203910012486</v>
      </c>
      <c r="AW63" s="9">
        <v>0.53</v>
      </c>
      <c r="AX63" s="9">
        <v>0.52</v>
      </c>
      <c r="AY63" s="9">
        <v>0.2</v>
      </c>
      <c r="AZ63" s="9">
        <v>0.52</v>
      </c>
      <c r="BA63" s="9">
        <v>0.39</v>
      </c>
      <c r="BB63" s="9">
        <v>0.41</v>
      </c>
      <c r="BC63" s="9">
        <v>0.39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15">
      <c r="A64" s="1" t="s">
        <v>29</v>
      </c>
      <c r="B64" s="1" t="s">
        <v>65</v>
      </c>
      <c r="C64" s="1" t="s">
        <v>68</v>
      </c>
      <c r="D64" s="10">
        <v>0.4508428464901839</v>
      </c>
      <c r="E64" s="9">
        <v>0.62</v>
      </c>
      <c r="F64" s="9">
        <v>0.49</v>
      </c>
      <c r="G64" s="9">
        <v>0.24</v>
      </c>
      <c r="H64" s="9">
        <v>0.32</v>
      </c>
      <c r="I64" s="9">
        <v>0.55</v>
      </c>
      <c r="J64" s="9">
        <v>0.48</v>
      </c>
      <c r="K64" s="10">
        <v>0.24549908850896568</v>
      </c>
      <c r="L64" s="9">
        <v>0.26</v>
      </c>
      <c r="M64" s="9">
        <v>0.46</v>
      </c>
      <c r="N64" s="9">
        <v>0.21</v>
      </c>
      <c r="O64" s="9">
        <v>0.05</v>
      </c>
      <c r="P64" s="10">
        <v>0.4735202746325315</v>
      </c>
      <c r="Q64" s="9">
        <v>0.49</v>
      </c>
      <c r="R64" s="9">
        <v>0.58</v>
      </c>
      <c r="S64" s="9">
        <v>0.35</v>
      </c>
      <c r="T64" s="10">
        <v>0.44886212366303774</v>
      </c>
      <c r="U64" s="9">
        <v>0.48</v>
      </c>
      <c r="V64" s="9">
        <v>0.29</v>
      </c>
      <c r="W64" s="9">
        <v>0.21</v>
      </c>
      <c r="X64" s="9">
        <v>0.56</v>
      </c>
      <c r="Y64" s="9">
        <v>0.5</v>
      </c>
      <c r="Z64" s="9">
        <v>0.35</v>
      </c>
      <c r="AA64" s="9">
        <v>0.74</v>
      </c>
      <c r="AB64" s="9">
        <v>0.46</v>
      </c>
      <c r="AC64" s="10">
        <v>0.35104074980760336</v>
      </c>
      <c r="AD64" s="9">
        <v>0.33</v>
      </c>
      <c r="AE64" s="9">
        <v>0.39</v>
      </c>
      <c r="AF64" s="9">
        <v>0.4</v>
      </c>
      <c r="AG64" s="9">
        <v>0.28</v>
      </c>
      <c r="AH64" s="10">
        <v>0.415050264909961</v>
      </c>
      <c r="AI64" s="9">
        <v>0.36</v>
      </c>
      <c r="AJ64" s="9">
        <v>0.44</v>
      </c>
      <c r="AK64" s="9">
        <v>0.38</v>
      </c>
      <c r="AL64" s="9">
        <v>0.37</v>
      </c>
      <c r="AM64" s="9">
        <v>0.52</v>
      </c>
      <c r="AN64" s="10">
        <v>0.5285198778435426</v>
      </c>
      <c r="AO64" s="9">
        <v>0.55</v>
      </c>
      <c r="AP64" s="9">
        <v>0.56</v>
      </c>
      <c r="AQ64" s="9">
        <v>0.51</v>
      </c>
      <c r="AR64" s="9">
        <v>0.56</v>
      </c>
      <c r="AS64" s="9">
        <v>0.35</v>
      </c>
      <c r="AT64" s="9">
        <v>0.5</v>
      </c>
      <c r="AU64" s="9">
        <v>0.66</v>
      </c>
      <c r="AV64" s="10">
        <v>0.2832213763963086</v>
      </c>
      <c r="AW64" s="9">
        <v>0.26</v>
      </c>
      <c r="AX64" s="9">
        <v>0.27</v>
      </c>
      <c r="AY64" s="9">
        <v>0.14</v>
      </c>
      <c r="AZ64" s="9">
        <v>0.23</v>
      </c>
      <c r="BA64" s="9">
        <v>0.32</v>
      </c>
      <c r="BB64" s="9">
        <v>0.55</v>
      </c>
      <c r="BC64" s="9">
        <v>0.21</v>
      </c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15">
      <c r="A65" s="1" t="s">
        <v>30</v>
      </c>
      <c r="B65" s="1" t="s">
        <v>63</v>
      </c>
      <c r="C65" s="1" t="s">
        <v>71</v>
      </c>
      <c r="D65" s="10">
        <v>0.8981010532677113</v>
      </c>
      <c r="E65" s="9">
        <v>0.92</v>
      </c>
      <c r="F65" s="9">
        <v>0.91</v>
      </c>
      <c r="G65" s="9">
        <v>0.84</v>
      </c>
      <c r="H65" s="9">
        <v>0.89</v>
      </c>
      <c r="I65" s="9">
        <v>0.9</v>
      </c>
      <c r="J65" s="9">
        <v>0.93</v>
      </c>
      <c r="K65" s="10">
        <v>0.9414527349761193</v>
      </c>
      <c r="L65" s="9">
        <v>0.94</v>
      </c>
      <c r="M65" s="9">
        <v>0.97</v>
      </c>
      <c r="N65" s="9">
        <v>0.95</v>
      </c>
      <c r="O65" s="9">
        <v>0.91</v>
      </c>
      <c r="P65" s="10">
        <v>0.8745200676119125</v>
      </c>
      <c r="Q65" s="9">
        <v>0.91</v>
      </c>
      <c r="R65" s="9">
        <v>0.92</v>
      </c>
      <c r="S65" s="9">
        <v>0.8</v>
      </c>
      <c r="T65" s="10">
        <v>0.9046369825413492</v>
      </c>
      <c r="U65" s="9">
        <v>0.84</v>
      </c>
      <c r="V65" s="9">
        <v>0.96</v>
      </c>
      <c r="W65" s="9">
        <v>0.92</v>
      </c>
      <c r="X65" s="9">
        <v>0.9</v>
      </c>
      <c r="Y65" s="9">
        <v>0.84</v>
      </c>
      <c r="Z65" s="9">
        <v>0.94</v>
      </c>
      <c r="AA65" s="9">
        <v>0.9</v>
      </c>
      <c r="AB65" s="9">
        <v>0.93</v>
      </c>
      <c r="AC65" s="10">
        <v>0.8446522786219044</v>
      </c>
      <c r="AD65" s="9">
        <v>0.74</v>
      </c>
      <c r="AE65" s="9">
        <v>0.95</v>
      </c>
      <c r="AF65" s="9">
        <v>0.76</v>
      </c>
      <c r="AG65" s="9">
        <v>0.93</v>
      </c>
      <c r="AH65" s="10">
        <v>0.8296978436567823</v>
      </c>
      <c r="AI65" s="9">
        <v>0.8</v>
      </c>
      <c r="AJ65" s="9">
        <v>0.92</v>
      </c>
      <c r="AK65" s="9">
        <v>0.74</v>
      </c>
      <c r="AL65" s="9">
        <v>0.82</v>
      </c>
      <c r="AM65" s="9">
        <v>0.86</v>
      </c>
      <c r="AN65" s="10">
        <v>0.8162277648163724</v>
      </c>
      <c r="AO65" s="9">
        <v>0.73</v>
      </c>
      <c r="AP65" s="9">
        <v>0.81</v>
      </c>
      <c r="AQ65" s="9">
        <v>0.93</v>
      </c>
      <c r="AR65" s="9">
        <v>0.89</v>
      </c>
      <c r="AS65" s="9">
        <v>0.69</v>
      </c>
      <c r="AT65" s="9">
        <v>0.74</v>
      </c>
      <c r="AU65" s="9">
        <v>0.92</v>
      </c>
      <c r="AV65" s="10">
        <v>0.8457877696598921</v>
      </c>
      <c r="AW65" s="9">
        <v>0.79</v>
      </c>
      <c r="AX65" s="9">
        <v>0.79</v>
      </c>
      <c r="AY65" s="9">
        <v>0.76</v>
      </c>
      <c r="AZ65" s="9">
        <v>0.83</v>
      </c>
      <c r="BA65" s="9">
        <v>0.93</v>
      </c>
      <c r="BB65" s="9">
        <v>0.9</v>
      </c>
      <c r="BC65" s="9">
        <v>0.92</v>
      </c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15">
      <c r="A66" s="1" t="s">
        <v>31</v>
      </c>
      <c r="B66" s="1" t="s">
        <v>64</v>
      </c>
      <c r="C66" s="1" t="s">
        <v>68</v>
      </c>
      <c r="D66" s="10">
        <v>0.46062266199064306</v>
      </c>
      <c r="E66" s="9">
        <v>0.55</v>
      </c>
      <c r="F66" s="9">
        <v>0.52</v>
      </c>
      <c r="G66" s="9">
        <v>0.31</v>
      </c>
      <c r="H66" s="9">
        <v>0.3</v>
      </c>
      <c r="I66" s="9">
        <v>0.58</v>
      </c>
      <c r="J66" s="9">
        <v>0.5</v>
      </c>
      <c r="K66" s="10">
        <v>0.27557641905851255</v>
      </c>
      <c r="L66" s="9">
        <v>0.36</v>
      </c>
      <c r="M66" s="9">
        <v>0.36</v>
      </c>
      <c r="N66" s="9">
        <v>0.24</v>
      </c>
      <c r="O66" s="9">
        <v>0.15</v>
      </c>
      <c r="P66" s="10">
        <v>0.2947947300358787</v>
      </c>
      <c r="Q66" s="9">
        <v>0.47</v>
      </c>
      <c r="R66" s="9">
        <v>0.04</v>
      </c>
      <c r="S66" s="9">
        <v>0.37</v>
      </c>
      <c r="T66" s="10">
        <v>0.3978235931263247</v>
      </c>
      <c r="U66" s="9">
        <v>0.43</v>
      </c>
      <c r="V66" s="9">
        <v>0.27</v>
      </c>
      <c r="W66" s="9">
        <v>0.28</v>
      </c>
      <c r="X66" s="9">
        <v>0.59</v>
      </c>
      <c r="Y66" s="9">
        <v>0.41</v>
      </c>
      <c r="Z66" s="9">
        <v>0.24</v>
      </c>
      <c r="AA66" s="9">
        <v>0.56</v>
      </c>
      <c r="AB66" s="9">
        <v>0.4</v>
      </c>
      <c r="AC66" s="10">
        <v>0.34747360924486437</v>
      </c>
      <c r="AD66" s="9">
        <v>0.3</v>
      </c>
      <c r="AE66" s="9">
        <v>0.37</v>
      </c>
      <c r="AF66" s="9">
        <v>0.43</v>
      </c>
      <c r="AG66" s="9">
        <v>0.29</v>
      </c>
      <c r="AH66" s="10">
        <v>0.36223808409833397</v>
      </c>
      <c r="AI66" s="9">
        <v>0.22</v>
      </c>
      <c r="AJ66" s="9">
        <v>0.3</v>
      </c>
      <c r="AK66" s="9">
        <v>0.38</v>
      </c>
      <c r="AL66" s="9">
        <v>0.45</v>
      </c>
      <c r="AM66" s="9">
        <v>0.46</v>
      </c>
      <c r="AN66" s="10">
        <v>0.39448558234708414</v>
      </c>
      <c r="AO66" s="9">
        <v>0.55</v>
      </c>
      <c r="AP66" s="9">
        <v>0.22</v>
      </c>
      <c r="AQ66" s="9">
        <v>0.38</v>
      </c>
      <c r="AR66" s="9">
        <v>0.61</v>
      </c>
      <c r="AS66" s="9">
        <v>0.26</v>
      </c>
      <c r="AT66" s="9">
        <v>0.23</v>
      </c>
      <c r="AU66" s="9">
        <v>0.52</v>
      </c>
      <c r="AV66" s="10">
        <v>0.387801706243191</v>
      </c>
      <c r="AW66" s="9">
        <v>0.28</v>
      </c>
      <c r="AX66" s="9">
        <v>0.36</v>
      </c>
      <c r="AY66" s="9">
        <v>0.33</v>
      </c>
      <c r="AZ66" s="9">
        <v>0.41</v>
      </c>
      <c r="BA66" s="9">
        <v>0.34</v>
      </c>
      <c r="BB66" s="9">
        <v>0.71</v>
      </c>
      <c r="BC66" s="9">
        <v>0.28</v>
      </c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15">
      <c r="A67" s="1" t="s">
        <v>103</v>
      </c>
      <c r="B67" s="4" t="s">
        <v>61</v>
      </c>
      <c r="C67" s="1" t="s">
        <v>69</v>
      </c>
      <c r="D67" s="10">
        <v>0.4527424564179952</v>
      </c>
      <c r="E67" s="9">
        <v>0.37</v>
      </c>
      <c r="F67" s="9">
        <v>0.31</v>
      </c>
      <c r="G67" s="9">
        <v>0.43</v>
      </c>
      <c r="H67" s="9">
        <v>0.27</v>
      </c>
      <c r="I67" s="9">
        <v>0.57</v>
      </c>
      <c r="J67" s="9">
        <v>0.77</v>
      </c>
      <c r="K67" s="10">
        <v>0.4076117539674321</v>
      </c>
      <c r="L67" s="9">
        <v>0.49</v>
      </c>
      <c r="M67" s="9">
        <v>0.38</v>
      </c>
      <c r="N67" s="9">
        <v>0.58</v>
      </c>
      <c r="O67" s="9">
        <v>0.19</v>
      </c>
      <c r="P67" s="10">
        <v>0.6836202315170358</v>
      </c>
      <c r="Q67" s="9">
        <v>0.64</v>
      </c>
      <c r="R67" s="9">
        <v>1</v>
      </c>
      <c r="S67" s="9">
        <v>0.41</v>
      </c>
      <c r="T67" s="10">
        <v>0.6270910070647572</v>
      </c>
      <c r="U67" s="9">
        <v>0.68</v>
      </c>
      <c r="V67" s="9">
        <v>0.71</v>
      </c>
      <c r="W67" s="9">
        <v>0.44</v>
      </c>
      <c r="X67" s="9">
        <v>0.57</v>
      </c>
      <c r="Y67" s="9">
        <v>0.68</v>
      </c>
      <c r="Z67" s="9">
        <v>0.58</v>
      </c>
      <c r="AA67" s="9">
        <v>0.63</v>
      </c>
      <c r="AB67" s="9">
        <v>0.72</v>
      </c>
      <c r="AC67" s="10">
        <v>0.6024103126924574</v>
      </c>
      <c r="AD67" s="9">
        <v>0.52</v>
      </c>
      <c r="AE67" s="9">
        <v>0.72</v>
      </c>
      <c r="AF67" s="9">
        <v>0.59</v>
      </c>
      <c r="AG67" s="9">
        <v>0.58</v>
      </c>
      <c r="AH67" s="10">
        <v>0.5175668339699979</v>
      </c>
      <c r="AI67" s="9">
        <v>0.45</v>
      </c>
      <c r="AJ67" s="9">
        <v>0.57</v>
      </c>
      <c r="AK67" s="9">
        <v>0.47</v>
      </c>
      <c r="AL67" s="9">
        <v>0.51</v>
      </c>
      <c r="AM67" s="9">
        <v>0.59</v>
      </c>
      <c r="AN67" s="10">
        <v>0.5051130621750662</v>
      </c>
      <c r="AO67" s="9">
        <v>0.57</v>
      </c>
      <c r="AP67" s="9">
        <v>0.62</v>
      </c>
      <c r="AQ67" s="9">
        <v>0.4</v>
      </c>
      <c r="AR67" s="9">
        <v>0.47</v>
      </c>
      <c r="AS67" s="9">
        <v>0.3</v>
      </c>
      <c r="AT67" s="9">
        <v>0.5</v>
      </c>
      <c r="AU67" s="9">
        <v>0.67</v>
      </c>
      <c r="AV67" s="10">
        <v>0.38377187586402695</v>
      </c>
      <c r="AW67" s="9">
        <v>0.41</v>
      </c>
      <c r="AX67" s="9">
        <v>0.34</v>
      </c>
      <c r="AY67" s="9">
        <v>0.08</v>
      </c>
      <c r="AZ67" s="9">
        <v>0.38</v>
      </c>
      <c r="BA67" s="9">
        <v>0.47</v>
      </c>
      <c r="BB67" s="9">
        <v>0.56</v>
      </c>
      <c r="BC67" s="9">
        <v>0.44</v>
      </c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15">
      <c r="A68" s="1" t="s">
        <v>32</v>
      </c>
      <c r="B68" s="1" t="s">
        <v>61</v>
      </c>
      <c r="C68" s="1" t="s">
        <v>69</v>
      </c>
      <c r="D68" s="10">
        <v>0.6381670762310051</v>
      </c>
      <c r="E68" s="9">
        <v>0.72</v>
      </c>
      <c r="F68" s="9">
        <v>0.49</v>
      </c>
      <c r="G68" s="9">
        <v>0.62</v>
      </c>
      <c r="H68" s="9">
        <v>0.38</v>
      </c>
      <c r="I68" s="9">
        <v>0.76</v>
      </c>
      <c r="J68" s="9">
        <v>0.85</v>
      </c>
      <c r="K68" s="10">
        <v>0.3658171411295407</v>
      </c>
      <c r="L68" s="9">
        <v>0.46</v>
      </c>
      <c r="M68" s="9">
        <v>0.36</v>
      </c>
      <c r="N68" s="9">
        <v>0.34</v>
      </c>
      <c r="O68" s="9">
        <v>0.3</v>
      </c>
      <c r="P68" s="10">
        <v>0.6207613610039061</v>
      </c>
      <c r="Q68" s="9">
        <v>0.5</v>
      </c>
      <c r="R68" s="9">
        <v>0.92</v>
      </c>
      <c r="S68" s="9">
        <v>0.44</v>
      </c>
      <c r="T68" s="10">
        <v>0.7001210330181403</v>
      </c>
      <c r="U68" s="9">
        <v>0.48</v>
      </c>
      <c r="V68" s="9">
        <v>0.84</v>
      </c>
      <c r="W68" s="9">
        <v>0.61</v>
      </c>
      <c r="X68" s="9">
        <v>0.77</v>
      </c>
      <c r="Y68" s="9">
        <v>0.82</v>
      </c>
      <c r="Z68" s="9">
        <v>0.77</v>
      </c>
      <c r="AA68" s="9">
        <v>0.82</v>
      </c>
      <c r="AB68" s="9">
        <v>0.49</v>
      </c>
      <c r="AC68" s="10">
        <v>0.429732448015133</v>
      </c>
      <c r="AD68" s="9">
        <v>0.38</v>
      </c>
      <c r="AE68" s="9">
        <v>0.36</v>
      </c>
      <c r="AF68" s="9">
        <v>0.48</v>
      </c>
      <c r="AG68" s="9">
        <v>0.5</v>
      </c>
      <c r="AH68" s="10">
        <v>0.4801129973249406</v>
      </c>
      <c r="AI68" s="9">
        <v>0.39</v>
      </c>
      <c r="AJ68" s="9">
        <v>0.58</v>
      </c>
      <c r="AK68" s="9">
        <v>0.37</v>
      </c>
      <c r="AL68" s="9">
        <v>0.47</v>
      </c>
      <c r="AM68" s="9">
        <v>0.6</v>
      </c>
      <c r="AN68" s="10">
        <v>0.4313771376759603</v>
      </c>
      <c r="AO68" s="9">
        <v>0.49</v>
      </c>
      <c r="AP68" s="9">
        <v>0.39</v>
      </c>
      <c r="AQ68" s="9">
        <v>0.36</v>
      </c>
      <c r="AR68" s="9">
        <v>0.52</v>
      </c>
      <c r="AS68" s="9">
        <v>0.29</v>
      </c>
      <c r="AT68" s="9">
        <v>0.32</v>
      </c>
      <c r="AU68" s="9">
        <v>0.65</v>
      </c>
      <c r="AV68" s="10">
        <v>0.45162948151762483</v>
      </c>
      <c r="AW68" s="9">
        <v>0.31</v>
      </c>
      <c r="AX68" s="9">
        <v>0.25</v>
      </c>
      <c r="AY68" s="9">
        <v>0.32</v>
      </c>
      <c r="AZ68" s="9">
        <v>0.68</v>
      </c>
      <c r="BA68" s="9">
        <v>0.34</v>
      </c>
      <c r="BB68" s="9">
        <v>0.65</v>
      </c>
      <c r="BC68" s="9">
        <v>0.61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15">
      <c r="A69" s="1" t="s">
        <v>33</v>
      </c>
      <c r="B69" s="1" t="s">
        <v>62</v>
      </c>
      <c r="C69" s="1" t="s">
        <v>68</v>
      </c>
      <c r="D69" s="10">
        <v>0.563936204816924</v>
      </c>
      <c r="E69" s="9">
        <v>0.76</v>
      </c>
      <c r="F69" s="9">
        <v>0.54</v>
      </c>
      <c r="G69" s="9">
        <v>0.51</v>
      </c>
      <c r="H69" s="9">
        <v>0.43</v>
      </c>
      <c r="I69" s="9">
        <v>0.69</v>
      </c>
      <c r="J69" s="9">
        <v>0.46</v>
      </c>
      <c r="K69" s="10">
        <v>0.4139081076223812</v>
      </c>
      <c r="L69" s="9">
        <v>0.47</v>
      </c>
      <c r="M69" s="9">
        <v>0.39</v>
      </c>
      <c r="N69" s="9">
        <v>0.61</v>
      </c>
      <c r="O69" s="9">
        <v>0.19</v>
      </c>
      <c r="P69" s="10">
        <v>0.6025011752810551</v>
      </c>
      <c r="Q69" s="9">
        <v>0.66</v>
      </c>
      <c r="R69" s="9">
        <v>0.67</v>
      </c>
      <c r="S69" s="9">
        <v>0.49</v>
      </c>
      <c r="T69" s="10">
        <v>0.5692585865685468</v>
      </c>
      <c r="U69" s="9">
        <v>0.57</v>
      </c>
      <c r="V69" s="9">
        <v>0.39</v>
      </c>
      <c r="W69" s="9">
        <v>0.4</v>
      </c>
      <c r="X69" s="9">
        <v>0.69</v>
      </c>
      <c r="Y69" s="9">
        <v>0.64</v>
      </c>
      <c r="Z69" s="9">
        <v>0.45</v>
      </c>
      <c r="AA69" s="9">
        <v>0.77</v>
      </c>
      <c r="AB69" s="9">
        <v>0.64</v>
      </c>
      <c r="AC69" s="10">
        <v>0.4550872173244476</v>
      </c>
      <c r="AD69" s="9">
        <v>0.52</v>
      </c>
      <c r="AE69" s="9">
        <v>0.51</v>
      </c>
      <c r="AF69" s="9">
        <v>0.48</v>
      </c>
      <c r="AG69" s="9">
        <v>0.31</v>
      </c>
      <c r="AH69" s="10">
        <v>0.5089609281672882</v>
      </c>
      <c r="AI69" s="9">
        <v>0.47</v>
      </c>
      <c r="AJ69" s="9">
        <v>0.66</v>
      </c>
      <c r="AK69" s="9">
        <v>0.51</v>
      </c>
      <c r="AL69" s="9">
        <v>0.42</v>
      </c>
      <c r="AM69" s="9">
        <v>0.48</v>
      </c>
      <c r="AN69" s="10">
        <v>0.4270247161072315</v>
      </c>
      <c r="AO69" s="9">
        <v>0.51</v>
      </c>
      <c r="AP69" s="9">
        <v>0.38</v>
      </c>
      <c r="AQ69" s="9">
        <v>0.44</v>
      </c>
      <c r="AR69" s="9">
        <v>0.5</v>
      </c>
      <c r="AS69" s="9">
        <v>0.26</v>
      </c>
      <c r="AT69" s="9">
        <v>0.32</v>
      </c>
      <c r="AU69" s="9">
        <v>0.58</v>
      </c>
      <c r="AV69" s="10">
        <v>0.41928201801023673</v>
      </c>
      <c r="AW69" s="9">
        <v>0.49</v>
      </c>
      <c r="AX69" s="9">
        <v>0.38</v>
      </c>
      <c r="AY69" s="9">
        <v>0.24</v>
      </c>
      <c r="AZ69" s="9">
        <v>0.35</v>
      </c>
      <c r="BA69" s="9">
        <v>0.55</v>
      </c>
      <c r="BB69" s="9">
        <v>0.52</v>
      </c>
      <c r="BC69" s="9">
        <v>0.4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15">
      <c r="A70" s="1" t="s">
        <v>34</v>
      </c>
      <c r="B70" s="1" t="s">
        <v>60</v>
      </c>
      <c r="C70" s="1" t="s">
        <v>71</v>
      </c>
      <c r="D70" s="10">
        <v>0.7840717800379142</v>
      </c>
      <c r="E70" s="9">
        <v>0.83</v>
      </c>
      <c r="F70" s="9">
        <v>0.72</v>
      </c>
      <c r="G70" s="9">
        <v>0.75</v>
      </c>
      <c r="H70" s="9">
        <v>0.61</v>
      </c>
      <c r="I70" s="9">
        <v>0.84</v>
      </c>
      <c r="J70" s="9">
        <v>0.96</v>
      </c>
      <c r="K70" s="10">
        <v>0.7180146379804256</v>
      </c>
      <c r="L70" s="9">
        <v>0.65</v>
      </c>
      <c r="M70" s="9">
        <v>0.8</v>
      </c>
      <c r="N70" s="9">
        <v>0.88</v>
      </c>
      <c r="O70" s="9">
        <v>0.54</v>
      </c>
      <c r="P70" s="10">
        <v>0.8088997719562411</v>
      </c>
      <c r="Q70" s="9">
        <v>0.85</v>
      </c>
      <c r="R70" s="9">
        <v>1</v>
      </c>
      <c r="S70" s="9">
        <v>0.58</v>
      </c>
      <c r="T70" s="10">
        <v>0.8468606477474738</v>
      </c>
      <c r="U70" s="9">
        <v>0.78</v>
      </c>
      <c r="V70" s="9">
        <v>1</v>
      </c>
      <c r="W70" s="9">
        <v>0.86</v>
      </c>
      <c r="X70" s="9">
        <v>0.85</v>
      </c>
      <c r="Y70" s="9">
        <v>0.76</v>
      </c>
      <c r="Z70" s="9">
        <v>0.83</v>
      </c>
      <c r="AA70" s="9">
        <v>0.91</v>
      </c>
      <c r="AB70" s="9">
        <v>0.8</v>
      </c>
      <c r="AC70" s="10">
        <v>0.5938107768361249</v>
      </c>
      <c r="AD70" s="9">
        <v>0.67</v>
      </c>
      <c r="AE70" s="9">
        <v>0.56</v>
      </c>
      <c r="AF70" s="9">
        <v>0.57</v>
      </c>
      <c r="AG70" s="9">
        <v>0.57</v>
      </c>
      <c r="AH70" s="10">
        <v>0.6111369924479263</v>
      </c>
      <c r="AI70" s="9">
        <v>0.59</v>
      </c>
      <c r="AJ70" s="9">
        <v>0.71</v>
      </c>
      <c r="AK70" s="9">
        <v>0.51</v>
      </c>
      <c r="AL70" s="9">
        <v>0.59</v>
      </c>
      <c r="AM70" s="9">
        <v>0.66</v>
      </c>
      <c r="AN70" s="10">
        <v>0.6293374426734514</v>
      </c>
      <c r="AO70" s="9">
        <v>0.62</v>
      </c>
      <c r="AP70" s="9">
        <v>0.74</v>
      </c>
      <c r="AQ70" s="9">
        <v>0.77</v>
      </c>
      <c r="AR70" s="9">
        <v>0.7</v>
      </c>
      <c r="AS70" s="9">
        <v>0.32</v>
      </c>
      <c r="AT70" s="9">
        <v>0.5</v>
      </c>
      <c r="AU70" s="9">
        <v>0.76</v>
      </c>
      <c r="AV70" s="10">
        <v>0.7328397088395385</v>
      </c>
      <c r="AW70" s="9">
        <v>0.6</v>
      </c>
      <c r="AX70" s="9">
        <v>0.56</v>
      </c>
      <c r="AY70" s="9">
        <v>0.56</v>
      </c>
      <c r="AZ70" s="9">
        <v>0.94</v>
      </c>
      <c r="BA70" s="9">
        <v>0.78</v>
      </c>
      <c r="BB70" s="9">
        <v>0.83</v>
      </c>
      <c r="BC70" s="9">
        <v>0.86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15">
      <c r="A71" s="1" t="s">
        <v>104</v>
      </c>
      <c r="B71" s="1" t="s">
        <v>63</v>
      </c>
      <c r="C71" s="1" t="s">
        <v>71</v>
      </c>
      <c r="D71" s="10">
        <v>0.7132494127026034</v>
      </c>
      <c r="E71" s="9">
        <v>0.76</v>
      </c>
      <c r="F71" s="9">
        <v>0.65</v>
      </c>
      <c r="G71" s="9">
        <v>0.66</v>
      </c>
      <c r="H71" s="9">
        <v>0.56</v>
      </c>
      <c r="I71" s="9">
        <v>0.75</v>
      </c>
      <c r="J71" s="9">
        <v>0.9</v>
      </c>
      <c r="K71" s="10">
        <v>0.6789111775401024</v>
      </c>
      <c r="L71" s="9">
        <v>0.66</v>
      </c>
      <c r="M71" s="9">
        <v>0.77</v>
      </c>
      <c r="N71" s="9">
        <v>0.82</v>
      </c>
      <c r="O71" s="9">
        <v>0.46</v>
      </c>
      <c r="P71" s="10">
        <v>0.7436114001356969</v>
      </c>
      <c r="Q71" s="9">
        <v>0.82</v>
      </c>
      <c r="R71" s="9">
        <v>1</v>
      </c>
      <c r="S71" s="9">
        <v>0.42</v>
      </c>
      <c r="T71" s="10">
        <v>0.750242922629008</v>
      </c>
      <c r="U71" s="9">
        <v>0.63</v>
      </c>
      <c r="V71" s="9">
        <v>0.84</v>
      </c>
      <c r="W71" s="9">
        <v>0.66</v>
      </c>
      <c r="X71" s="9">
        <v>0.75</v>
      </c>
      <c r="Y71" s="9">
        <v>0.88</v>
      </c>
      <c r="Z71" s="9">
        <v>0.71</v>
      </c>
      <c r="AA71" s="9">
        <v>0.83</v>
      </c>
      <c r="AB71" s="9">
        <v>0.7</v>
      </c>
      <c r="AC71" s="10">
        <v>0.6155060503843445</v>
      </c>
      <c r="AD71" s="9">
        <v>0.53</v>
      </c>
      <c r="AE71" s="9">
        <v>0.49</v>
      </c>
      <c r="AF71" s="9">
        <v>0.77</v>
      </c>
      <c r="AG71" s="9">
        <v>0.67</v>
      </c>
      <c r="AH71" s="10">
        <v>0.5719730868989994</v>
      </c>
      <c r="AI71" s="9">
        <v>0.6</v>
      </c>
      <c r="AJ71" s="9">
        <v>0.71</v>
      </c>
      <c r="AK71" s="9">
        <v>0.41</v>
      </c>
      <c r="AL71" s="9">
        <v>0.5</v>
      </c>
      <c r="AM71" s="9">
        <v>0.64</v>
      </c>
      <c r="AN71" s="10">
        <v>0.6152412839208831</v>
      </c>
      <c r="AO71" s="9">
        <v>0.68</v>
      </c>
      <c r="AP71" s="9">
        <v>0.77</v>
      </c>
      <c r="AQ71" s="9">
        <v>0.73</v>
      </c>
      <c r="AR71" s="9">
        <v>0.73</v>
      </c>
      <c r="AS71" s="9">
        <v>0.27</v>
      </c>
      <c r="AT71" s="9">
        <v>0.4</v>
      </c>
      <c r="AU71" s="9">
        <v>0.73</v>
      </c>
      <c r="AV71" s="10">
        <v>0.6246167651764408</v>
      </c>
      <c r="AW71" s="9">
        <v>0.65</v>
      </c>
      <c r="AX71" s="9">
        <v>0.49</v>
      </c>
      <c r="AY71" s="9">
        <v>0.47</v>
      </c>
      <c r="AZ71" s="9">
        <v>0.5</v>
      </c>
      <c r="BA71" s="9">
        <v>0.72</v>
      </c>
      <c r="BB71" s="9">
        <v>0.88</v>
      </c>
      <c r="BC71" s="9">
        <v>0.66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15">
      <c r="A72" s="1" t="s">
        <v>105</v>
      </c>
      <c r="B72" s="1" t="s">
        <v>62</v>
      </c>
      <c r="C72" s="1" t="s">
        <v>71</v>
      </c>
      <c r="D72" s="10">
        <v>0.6623615122793606</v>
      </c>
      <c r="E72" s="9">
        <v>0.54</v>
      </c>
      <c r="F72" s="9">
        <v>0.55</v>
      </c>
      <c r="G72" s="9">
        <v>0.67</v>
      </c>
      <c r="H72" s="9">
        <v>0.6</v>
      </c>
      <c r="I72" s="9">
        <v>0.71</v>
      </c>
      <c r="J72" s="9">
        <v>0.9</v>
      </c>
      <c r="K72" s="10">
        <v>0.7354072419745821</v>
      </c>
      <c r="L72" s="9">
        <v>0.75</v>
      </c>
      <c r="M72" s="9">
        <v>0.84</v>
      </c>
      <c r="N72" s="9">
        <v>0.86</v>
      </c>
      <c r="O72" s="9">
        <v>0.49</v>
      </c>
      <c r="P72" s="10">
        <v>0.8183502087115192</v>
      </c>
      <c r="Q72" s="9">
        <v>0.86</v>
      </c>
      <c r="R72" s="9">
        <v>1</v>
      </c>
      <c r="S72" s="9">
        <v>0.59</v>
      </c>
      <c r="T72" s="10">
        <v>0.7595640647027331</v>
      </c>
      <c r="U72" s="9">
        <v>0.75</v>
      </c>
      <c r="V72" s="9">
        <v>0.83</v>
      </c>
      <c r="W72" s="9">
        <v>0.8</v>
      </c>
      <c r="X72" s="9">
        <v>0.72</v>
      </c>
      <c r="Y72" s="9">
        <v>0.75</v>
      </c>
      <c r="Z72" s="9">
        <v>0.69</v>
      </c>
      <c r="AA72" s="9">
        <v>0.81</v>
      </c>
      <c r="AB72" s="9">
        <v>0.73</v>
      </c>
      <c r="AC72" s="10">
        <v>0.7353657283334205</v>
      </c>
      <c r="AD72" s="9">
        <v>0.82</v>
      </c>
      <c r="AE72" s="9">
        <v>0.79</v>
      </c>
      <c r="AF72" s="9">
        <v>0.66</v>
      </c>
      <c r="AG72" s="9">
        <v>0.67</v>
      </c>
      <c r="AH72" s="10">
        <v>0.6747586225599165</v>
      </c>
      <c r="AI72" s="9">
        <v>0.47</v>
      </c>
      <c r="AJ72" s="9">
        <v>0.74</v>
      </c>
      <c r="AK72" s="9">
        <v>0.84</v>
      </c>
      <c r="AL72" s="9">
        <v>0.63</v>
      </c>
      <c r="AM72" s="9">
        <v>0.69</v>
      </c>
      <c r="AN72" s="10">
        <v>0.7168602809396907</v>
      </c>
      <c r="AO72" s="9">
        <v>0.61</v>
      </c>
      <c r="AP72" s="9">
        <v>0.7</v>
      </c>
      <c r="AQ72" s="9">
        <v>0.78</v>
      </c>
      <c r="AR72" s="9">
        <v>0.65</v>
      </c>
      <c r="AS72" s="9">
        <v>0.6</v>
      </c>
      <c r="AT72" s="9">
        <v>0.75</v>
      </c>
      <c r="AU72" s="9">
        <v>0.94</v>
      </c>
      <c r="AV72" s="10">
        <v>0.7558376706796901</v>
      </c>
      <c r="AW72" s="9">
        <v>0.57</v>
      </c>
      <c r="AX72" s="9">
        <v>0.8</v>
      </c>
      <c r="AY72" s="9">
        <v>0.8</v>
      </c>
      <c r="AZ72" s="9">
        <v>0.78</v>
      </c>
      <c r="BA72" s="9">
        <v>0.79</v>
      </c>
      <c r="BB72" s="9">
        <v>0.74</v>
      </c>
      <c r="BC72" s="9">
        <v>0.8</v>
      </c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15">
      <c r="A73" s="1" t="s">
        <v>35</v>
      </c>
      <c r="B73" s="1" t="s">
        <v>60</v>
      </c>
      <c r="C73" s="1" t="s">
        <v>69</v>
      </c>
      <c r="D73" s="10">
        <v>0.5800372004120108</v>
      </c>
      <c r="E73" s="9">
        <v>0.59</v>
      </c>
      <c r="F73" s="9">
        <v>0.51</v>
      </c>
      <c r="G73" s="9">
        <v>0.5</v>
      </c>
      <c r="H73" s="9">
        <v>0.47</v>
      </c>
      <c r="I73" s="9">
        <v>0.69</v>
      </c>
      <c r="J73" s="9">
        <v>0.72</v>
      </c>
      <c r="K73" s="10">
        <v>0.5001427474038979</v>
      </c>
      <c r="L73" s="9">
        <v>0.47</v>
      </c>
      <c r="M73" s="9">
        <v>0.62</v>
      </c>
      <c r="N73" s="9">
        <v>0.64</v>
      </c>
      <c r="O73" s="9">
        <v>0.27</v>
      </c>
      <c r="P73" s="10">
        <v>0.8024815779224749</v>
      </c>
      <c r="Q73" s="9">
        <v>0.82</v>
      </c>
      <c r="R73" s="9">
        <v>1</v>
      </c>
      <c r="S73" s="9">
        <v>0.59</v>
      </c>
      <c r="T73" s="10">
        <v>0.7303543926726546</v>
      </c>
      <c r="U73" s="9">
        <v>0.74</v>
      </c>
      <c r="V73" s="9">
        <v>0.84</v>
      </c>
      <c r="W73" s="9">
        <v>0.65</v>
      </c>
      <c r="X73" s="9">
        <v>0.7</v>
      </c>
      <c r="Y73" s="9">
        <v>0.82</v>
      </c>
      <c r="Z73" s="9">
        <v>0.62</v>
      </c>
      <c r="AA73" s="9">
        <v>0.73</v>
      </c>
      <c r="AB73" s="9">
        <v>0.74</v>
      </c>
      <c r="AC73" s="10">
        <v>0.5086174941156962</v>
      </c>
      <c r="AD73" s="9">
        <v>0.48</v>
      </c>
      <c r="AE73" s="9">
        <v>0.53</v>
      </c>
      <c r="AF73" s="9">
        <v>0.46</v>
      </c>
      <c r="AG73" s="9">
        <v>0.57</v>
      </c>
      <c r="AH73" s="10">
        <v>0.5379069175839558</v>
      </c>
      <c r="AI73" s="9">
        <v>0.49</v>
      </c>
      <c r="AJ73" s="9">
        <v>0.47</v>
      </c>
      <c r="AK73" s="9">
        <v>0.61</v>
      </c>
      <c r="AL73" s="9">
        <v>0.47</v>
      </c>
      <c r="AM73" s="9">
        <v>0.65</v>
      </c>
      <c r="AN73" s="10">
        <v>0.5860435165847725</v>
      </c>
      <c r="AO73" s="9">
        <v>0.61</v>
      </c>
      <c r="AP73" s="9">
        <v>0.72</v>
      </c>
      <c r="AQ73" s="9">
        <v>0.57</v>
      </c>
      <c r="AR73" s="9">
        <v>0.58</v>
      </c>
      <c r="AS73" s="9">
        <v>0.34</v>
      </c>
      <c r="AT73" s="9">
        <v>0.5</v>
      </c>
      <c r="AU73" s="9">
        <v>0.77</v>
      </c>
      <c r="AV73" s="10">
        <v>0.5980678832257162</v>
      </c>
      <c r="AW73" s="9">
        <v>0.72</v>
      </c>
      <c r="AX73" s="9">
        <v>0.55</v>
      </c>
      <c r="AY73" s="9">
        <v>0.42</v>
      </c>
      <c r="AZ73" s="9">
        <v>0.71</v>
      </c>
      <c r="BA73" s="9">
        <v>0.55</v>
      </c>
      <c r="BB73" s="9">
        <v>0.58</v>
      </c>
      <c r="BC73" s="9">
        <v>0.65</v>
      </c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15">
      <c r="A74" s="1" t="s">
        <v>36</v>
      </c>
      <c r="B74" s="1" t="s">
        <v>60</v>
      </c>
      <c r="C74" s="1" t="s">
        <v>69</v>
      </c>
      <c r="D74" s="10">
        <v>0.3129753565300066</v>
      </c>
      <c r="E74" s="9">
        <v>0.32</v>
      </c>
      <c r="F74" s="9">
        <v>0.27</v>
      </c>
      <c r="G74" s="9">
        <v>0.33</v>
      </c>
      <c r="H74" s="9">
        <v>0.29</v>
      </c>
      <c r="I74" s="9">
        <v>0.33</v>
      </c>
      <c r="J74" s="9">
        <v>0.34</v>
      </c>
      <c r="K74" s="10">
        <v>0.3907091738481854</v>
      </c>
      <c r="L74" s="9">
        <v>0.46</v>
      </c>
      <c r="M74" s="9">
        <v>0.42</v>
      </c>
      <c r="N74" s="9">
        <v>0.46</v>
      </c>
      <c r="O74" s="9">
        <v>0.22</v>
      </c>
      <c r="P74" s="10">
        <v>0.4918513057002003</v>
      </c>
      <c r="Q74" s="9">
        <v>0.57</v>
      </c>
      <c r="R74" s="9">
        <v>0.5</v>
      </c>
      <c r="S74" s="9">
        <v>0.41</v>
      </c>
      <c r="T74" s="10">
        <v>0.46698270589189095</v>
      </c>
      <c r="U74" s="9">
        <v>0.62</v>
      </c>
      <c r="V74" s="9">
        <v>0.46</v>
      </c>
      <c r="W74" s="9">
        <v>0.32</v>
      </c>
      <c r="X74" s="9">
        <v>0.33</v>
      </c>
      <c r="Y74" s="9">
        <v>0.53</v>
      </c>
      <c r="Z74" s="9">
        <v>0.39</v>
      </c>
      <c r="AA74" s="9">
        <v>0.38</v>
      </c>
      <c r="AB74" s="9">
        <v>0.68</v>
      </c>
      <c r="AC74" s="10">
        <v>0.4083592404598642</v>
      </c>
      <c r="AD74" s="9">
        <v>0.46</v>
      </c>
      <c r="AE74" s="9">
        <v>0.5</v>
      </c>
      <c r="AF74" s="9">
        <v>0.33</v>
      </c>
      <c r="AG74" s="9">
        <v>0.35</v>
      </c>
      <c r="AH74" s="10">
        <v>0.44529897572869165</v>
      </c>
      <c r="AI74" s="9">
        <v>0.54</v>
      </c>
      <c r="AJ74" s="9">
        <v>0.48</v>
      </c>
      <c r="AK74" s="9">
        <v>0.52</v>
      </c>
      <c r="AL74" s="9">
        <v>0.3</v>
      </c>
      <c r="AM74" s="9">
        <v>0.39</v>
      </c>
      <c r="AN74" s="10">
        <v>0.4958974581983884</v>
      </c>
      <c r="AO74" s="9">
        <v>0.54</v>
      </c>
      <c r="AP74" s="9">
        <v>0.56</v>
      </c>
      <c r="AQ74" s="9">
        <v>0.43</v>
      </c>
      <c r="AR74" s="9">
        <v>0.42</v>
      </c>
      <c r="AS74" s="9">
        <v>0.52</v>
      </c>
      <c r="AT74" s="9">
        <v>0.4</v>
      </c>
      <c r="AU74" s="9">
        <v>0.6</v>
      </c>
      <c r="AV74" s="10">
        <v>0.3951724272575839</v>
      </c>
      <c r="AW74" s="9">
        <v>0.57</v>
      </c>
      <c r="AX74" s="9">
        <v>0.42</v>
      </c>
      <c r="AY74" s="9">
        <v>0.29</v>
      </c>
      <c r="AZ74" s="9">
        <v>0.37</v>
      </c>
      <c r="BA74" s="9">
        <v>0.39</v>
      </c>
      <c r="BB74" s="9">
        <v>0.41</v>
      </c>
      <c r="BC74" s="9">
        <v>0.32</v>
      </c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15">
      <c r="A75" s="1" t="s">
        <v>37</v>
      </c>
      <c r="B75" s="1" t="s">
        <v>65</v>
      </c>
      <c r="C75" s="1" t="s">
        <v>68</v>
      </c>
      <c r="D75" s="10">
        <v>0.5728906636227253</v>
      </c>
      <c r="E75" s="9">
        <v>0.51</v>
      </c>
      <c r="F75" s="9">
        <v>0.44</v>
      </c>
      <c r="G75" s="9">
        <v>0.62</v>
      </c>
      <c r="H75" s="9">
        <v>0.51</v>
      </c>
      <c r="I75" s="9">
        <v>0.65</v>
      </c>
      <c r="J75" s="9">
        <v>0.72</v>
      </c>
      <c r="K75" s="10">
        <v>0.48835424878569567</v>
      </c>
      <c r="L75" s="9">
        <v>0.53</v>
      </c>
      <c r="M75" s="9">
        <v>0.46</v>
      </c>
      <c r="N75" s="9">
        <v>0.6</v>
      </c>
      <c r="O75" s="9">
        <v>0.37</v>
      </c>
      <c r="P75" s="10">
        <v>0.6525635682695318</v>
      </c>
      <c r="Q75" s="9">
        <v>0.74</v>
      </c>
      <c r="R75" s="9">
        <v>0.92</v>
      </c>
      <c r="S75" s="9">
        <v>0.31</v>
      </c>
      <c r="T75" s="10">
        <v>0.6166400035072706</v>
      </c>
      <c r="U75" s="9">
        <v>0.65</v>
      </c>
      <c r="V75" s="9">
        <v>0.54</v>
      </c>
      <c r="W75" s="9">
        <v>0.41</v>
      </c>
      <c r="X75" s="9">
        <v>0.66</v>
      </c>
      <c r="Y75" s="9">
        <v>0.82</v>
      </c>
      <c r="Z75" s="9">
        <v>0.46</v>
      </c>
      <c r="AA75" s="9">
        <v>0.73</v>
      </c>
      <c r="AB75" s="9">
        <v>0.67</v>
      </c>
      <c r="AC75" s="10">
        <v>0.4056689949356419</v>
      </c>
      <c r="AD75" s="9">
        <v>0.22</v>
      </c>
      <c r="AE75" s="9">
        <v>0.64</v>
      </c>
      <c r="AF75" s="9">
        <v>0.43</v>
      </c>
      <c r="AG75" s="9">
        <v>0.33</v>
      </c>
      <c r="AH75" s="10">
        <v>0.5802049126800863</v>
      </c>
      <c r="AI75" s="9">
        <v>0.42</v>
      </c>
      <c r="AJ75" s="9">
        <v>0.56</v>
      </c>
      <c r="AK75" s="9">
        <v>0.64</v>
      </c>
      <c r="AL75" s="9">
        <v>0.54</v>
      </c>
      <c r="AM75" s="9">
        <v>0.74</v>
      </c>
      <c r="AN75" s="10">
        <v>0.5775006916953177</v>
      </c>
      <c r="AO75" s="9">
        <v>0.55</v>
      </c>
      <c r="AP75" s="9">
        <v>0.77</v>
      </c>
      <c r="AQ75" s="9">
        <v>0.45</v>
      </c>
      <c r="AR75" s="9">
        <v>0.54</v>
      </c>
      <c r="AS75" s="9">
        <v>0.47</v>
      </c>
      <c r="AT75" s="9">
        <v>0.56</v>
      </c>
      <c r="AU75" s="9">
        <v>0.7</v>
      </c>
      <c r="AV75" s="10">
        <v>0.46455670098161417</v>
      </c>
      <c r="AW75" s="9">
        <v>0.71</v>
      </c>
      <c r="AX75" s="9">
        <v>0.52</v>
      </c>
      <c r="AY75" s="9">
        <v>0.21</v>
      </c>
      <c r="AZ75" s="9">
        <v>0.4</v>
      </c>
      <c r="BA75" s="9">
        <v>0.5</v>
      </c>
      <c r="BB75" s="9">
        <v>0.51</v>
      </c>
      <c r="BC75" s="9">
        <v>0.41</v>
      </c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15">
      <c r="A76" s="1" t="s">
        <v>106</v>
      </c>
      <c r="B76" s="1" t="s">
        <v>60</v>
      </c>
      <c r="C76" s="1" t="s">
        <v>69</v>
      </c>
      <c r="D76" s="10">
        <v>0.4809472212934714</v>
      </c>
      <c r="E76" s="9">
        <v>0.55</v>
      </c>
      <c r="F76" s="9">
        <v>0.31</v>
      </c>
      <c r="G76" s="9">
        <v>0.45</v>
      </c>
      <c r="H76" s="9">
        <v>0.31</v>
      </c>
      <c r="I76" s="9">
        <v>0.57</v>
      </c>
      <c r="J76" s="9">
        <v>0.69</v>
      </c>
      <c r="K76" s="10">
        <v>0.4237408717484531</v>
      </c>
      <c r="L76" s="9">
        <v>0.39</v>
      </c>
      <c r="M76" s="9">
        <v>0.45</v>
      </c>
      <c r="N76" s="9">
        <v>0.56</v>
      </c>
      <c r="O76" s="9">
        <v>0.3</v>
      </c>
      <c r="P76" s="10">
        <v>0.7519024826204209</v>
      </c>
      <c r="Q76" s="9">
        <v>0.86</v>
      </c>
      <c r="R76" s="9">
        <v>1</v>
      </c>
      <c r="S76" s="9">
        <v>0.39</v>
      </c>
      <c r="T76" s="10">
        <v>0.6097723954998995</v>
      </c>
      <c r="U76" s="9">
        <v>0.59</v>
      </c>
      <c r="V76" s="9">
        <v>0.57</v>
      </c>
      <c r="W76" s="9">
        <v>0.5</v>
      </c>
      <c r="X76" s="9">
        <v>0.58</v>
      </c>
      <c r="Y76" s="9">
        <v>0.78</v>
      </c>
      <c r="Z76" s="9">
        <v>0.42</v>
      </c>
      <c r="AA76" s="9">
        <v>0.72</v>
      </c>
      <c r="AB76" s="9">
        <v>0.72</v>
      </c>
      <c r="AC76" s="10">
        <v>0.43510294283300616</v>
      </c>
      <c r="AD76" s="9">
        <v>0.51</v>
      </c>
      <c r="AE76" s="9">
        <v>0.39</v>
      </c>
      <c r="AF76" s="9">
        <v>0.42</v>
      </c>
      <c r="AG76" s="9">
        <v>0.42</v>
      </c>
      <c r="AH76" s="10">
        <v>0.4322824091520654</v>
      </c>
      <c r="AI76" s="9">
        <v>0.38</v>
      </c>
      <c r="AJ76" s="9">
        <v>0.42</v>
      </c>
      <c r="AK76" s="9">
        <v>0.51</v>
      </c>
      <c r="AL76" s="9">
        <v>0.36</v>
      </c>
      <c r="AM76" s="9">
        <v>0.49</v>
      </c>
      <c r="AN76" s="10">
        <v>0.47136392204221483</v>
      </c>
      <c r="AO76" s="9">
        <v>0.48</v>
      </c>
      <c r="AP76" s="9">
        <v>0.75</v>
      </c>
      <c r="AQ76" s="9">
        <v>0.39</v>
      </c>
      <c r="AR76" s="9">
        <v>0.44</v>
      </c>
      <c r="AS76" s="9">
        <v>0.28</v>
      </c>
      <c r="AT76" s="9">
        <v>0.38</v>
      </c>
      <c r="AU76" s="9">
        <v>0.58</v>
      </c>
      <c r="AV76" s="10">
        <v>0.4496496401872001</v>
      </c>
      <c r="AW76" s="9">
        <v>0.3</v>
      </c>
      <c r="AX76" s="9">
        <v>0.39</v>
      </c>
      <c r="AY76" s="9">
        <v>0.43</v>
      </c>
      <c r="AZ76" s="9">
        <v>0.59</v>
      </c>
      <c r="BA76" s="9">
        <v>0.47</v>
      </c>
      <c r="BB76" s="9">
        <v>0.47</v>
      </c>
      <c r="BC76" s="9">
        <v>0.5</v>
      </c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ht="15">
      <c r="A77" s="1" t="s">
        <v>107</v>
      </c>
      <c r="B77" s="1" t="s">
        <v>65</v>
      </c>
      <c r="C77" s="1" t="s">
        <v>73</v>
      </c>
      <c r="D77" s="10">
        <v>0.5525864798935428</v>
      </c>
      <c r="E77" s="9">
        <v>0.67</v>
      </c>
      <c r="F77" s="9">
        <v>0.44</v>
      </c>
      <c r="G77" s="9">
        <v>0.45</v>
      </c>
      <c r="H77" s="9">
        <v>0.45</v>
      </c>
      <c r="I77" s="9">
        <v>0.67</v>
      </c>
      <c r="J77" s="9">
        <v>0.63</v>
      </c>
      <c r="K77" s="10">
        <v>0.3614730159437346</v>
      </c>
      <c r="L77" s="9">
        <v>0.4</v>
      </c>
      <c r="M77" s="9">
        <v>0.35</v>
      </c>
      <c r="N77" s="9">
        <v>0.3</v>
      </c>
      <c r="O77" s="9">
        <v>0.39</v>
      </c>
      <c r="P77" s="10">
        <v>0.6411540047940741</v>
      </c>
      <c r="Q77" s="9">
        <v>0.46</v>
      </c>
      <c r="R77" s="9">
        <v>1</v>
      </c>
      <c r="S77" s="9">
        <v>0.47</v>
      </c>
      <c r="T77" s="10">
        <v>0.6286731270476332</v>
      </c>
      <c r="U77" s="9">
        <v>0.55</v>
      </c>
      <c r="V77" s="9">
        <v>0.61</v>
      </c>
      <c r="W77" s="9">
        <v>0.4</v>
      </c>
      <c r="X77" s="9">
        <v>0.67</v>
      </c>
      <c r="Y77" s="9">
        <v>0.8</v>
      </c>
      <c r="Z77" s="9">
        <v>0.58</v>
      </c>
      <c r="AA77" s="9">
        <v>0.66</v>
      </c>
      <c r="AB77" s="9">
        <v>0.76</v>
      </c>
      <c r="AC77" s="10">
        <v>0.2553799977483408</v>
      </c>
      <c r="AD77" s="9">
        <v>0.36</v>
      </c>
      <c r="AE77" s="9">
        <v>0</v>
      </c>
      <c r="AF77" s="9">
        <v>0.46</v>
      </c>
      <c r="AG77" s="9">
        <v>0.2</v>
      </c>
      <c r="AH77" s="10">
        <v>0.3337934576573695</v>
      </c>
      <c r="AI77" s="9">
        <v>0.4</v>
      </c>
      <c r="AJ77" s="9">
        <v>0.42</v>
      </c>
      <c r="AK77" s="9">
        <v>0</v>
      </c>
      <c r="AL77" s="9">
        <v>0.34</v>
      </c>
      <c r="AM77" s="9">
        <v>0.5</v>
      </c>
      <c r="AN77" s="10">
        <v>0.542357481772603</v>
      </c>
      <c r="AO77" s="9">
        <v>0.7</v>
      </c>
      <c r="AP77" s="9">
        <v>0.71</v>
      </c>
      <c r="AQ77" s="9">
        <v>0.35</v>
      </c>
      <c r="AR77" s="9">
        <v>0.56</v>
      </c>
      <c r="AS77" s="9">
        <v>0.37</v>
      </c>
      <c r="AT77" s="9">
        <v>0.48</v>
      </c>
      <c r="AU77" s="9">
        <v>0.63</v>
      </c>
      <c r="AV77" s="10">
        <v>0.3590006739910106</v>
      </c>
      <c r="AW77" s="9">
        <v>0.53</v>
      </c>
      <c r="AX77" s="9">
        <v>0.36</v>
      </c>
      <c r="AY77" s="9">
        <v>0.11</v>
      </c>
      <c r="AZ77" s="9">
        <v>0.28</v>
      </c>
      <c r="BA77" s="9">
        <v>0.29</v>
      </c>
      <c r="BB77" s="9">
        <v>0.54</v>
      </c>
      <c r="BC77" s="9">
        <v>0.4</v>
      </c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ht="15">
      <c r="A78" s="1" t="s">
        <v>38</v>
      </c>
      <c r="B78" s="1" t="s">
        <v>62</v>
      </c>
      <c r="C78" s="1" t="s">
        <v>71</v>
      </c>
      <c r="D78" s="10">
        <v>0.730273946535808</v>
      </c>
      <c r="E78" s="9">
        <v>0.65</v>
      </c>
      <c r="F78" s="9">
        <v>0.7</v>
      </c>
      <c r="G78" s="9">
        <v>0.88</v>
      </c>
      <c r="H78" s="9">
        <v>0.82</v>
      </c>
      <c r="I78" s="9">
        <v>0.51</v>
      </c>
      <c r="J78" s="9">
        <v>0.82</v>
      </c>
      <c r="K78" s="10">
        <v>0.9082929120292382</v>
      </c>
      <c r="L78" s="9">
        <v>0.88</v>
      </c>
      <c r="M78" s="9">
        <v>0.92</v>
      </c>
      <c r="N78" s="9">
        <v>0.88</v>
      </c>
      <c r="O78" s="9">
        <v>0.95</v>
      </c>
      <c r="P78" s="10">
        <v>0.9279978327644721</v>
      </c>
      <c r="Q78" s="9">
        <v>0.96</v>
      </c>
      <c r="R78" s="9">
        <v>1</v>
      </c>
      <c r="S78" s="9">
        <v>0.82</v>
      </c>
      <c r="T78" s="10">
        <v>0.7254531872158911</v>
      </c>
      <c r="U78" s="9">
        <v>0.82</v>
      </c>
      <c r="V78" s="9">
        <v>0.87</v>
      </c>
      <c r="W78" s="9">
        <v>0.85</v>
      </c>
      <c r="X78" s="9">
        <v>0.52</v>
      </c>
      <c r="Y78" s="9">
        <v>0.79</v>
      </c>
      <c r="Z78" s="9">
        <v>0.77</v>
      </c>
      <c r="AA78" s="9">
        <v>0.5</v>
      </c>
      <c r="AB78" s="9">
        <v>0.69</v>
      </c>
      <c r="AC78" s="10">
        <v>0.6744218430024038</v>
      </c>
      <c r="AD78" s="9">
        <v>0.79</v>
      </c>
      <c r="AE78" s="9">
        <v>0.89</v>
      </c>
      <c r="AF78" s="9">
        <v>0.6</v>
      </c>
      <c r="AG78" s="9">
        <v>0.41</v>
      </c>
      <c r="AH78" s="10">
        <v>0.8048821330069252</v>
      </c>
      <c r="AI78" s="9">
        <v>0.82</v>
      </c>
      <c r="AJ78" s="9">
        <v>0.95</v>
      </c>
      <c r="AK78" s="9">
        <v>0.83</v>
      </c>
      <c r="AL78" s="9">
        <v>0.77</v>
      </c>
      <c r="AM78" s="9">
        <v>0.66</v>
      </c>
      <c r="AN78" s="10">
        <v>0.7884960541308229</v>
      </c>
      <c r="AO78" s="9">
        <v>0.61</v>
      </c>
      <c r="AP78" s="9">
        <v>0.9</v>
      </c>
      <c r="AQ78" s="9">
        <v>0.88</v>
      </c>
      <c r="AR78" s="9">
        <v>0.69</v>
      </c>
      <c r="AS78" s="9">
        <v>0.82</v>
      </c>
      <c r="AT78" s="9">
        <v>0.85</v>
      </c>
      <c r="AU78" s="9">
        <v>0.76</v>
      </c>
      <c r="AV78" s="10">
        <v>0.8651268795106375</v>
      </c>
      <c r="AW78" s="9">
        <v>0.93</v>
      </c>
      <c r="AX78" s="9">
        <v>0.9</v>
      </c>
      <c r="AY78" s="9">
        <v>0.95</v>
      </c>
      <c r="AZ78" s="9">
        <v>0.82</v>
      </c>
      <c r="BA78" s="9">
        <v>0.88</v>
      </c>
      <c r="BB78" s="9">
        <v>0.72</v>
      </c>
      <c r="BC78" s="9">
        <v>0.85</v>
      </c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15">
      <c r="A79" s="1" t="s">
        <v>108</v>
      </c>
      <c r="B79" s="1" t="s">
        <v>60</v>
      </c>
      <c r="C79" s="1" t="s">
        <v>71</v>
      </c>
      <c r="D79" s="10">
        <v>0.6421177213092889</v>
      </c>
      <c r="E79" s="9">
        <v>0.71</v>
      </c>
      <c r="F79" s="9">
        <v>0.54</v>
      </c>
      <c r="G79" s="9">
        <v>0.66</v>
      </c>
      <c r="H79" s="9">
        <v>0.49</v>
      </c>
      <c r="I79" s="9">
        <v>0.68</v>
      </c>
      <c r="J79" s="9">
        <v>0.77</v>
      </c>
      <c r="K79" s="10">
        <v>0.6205261978819303</v>
      </c>
      <c r="L79" s="9">
        <v>0.61</v>
      </c>
      <c r="M79" s="9">
        <v>0.75</v>
      </c>
      <c r="N79" s="9">
        <v>0.6</v>
      </c>
      <c r="O79" s="9">
        <v>0.52</v>
      </c>
      <c r="P79" s="10">
        <v>0.8016389464159319</v>
      </c>
      <c r="Q79" s="9">
        <v>0.92</v>
      </c>
      <c r="R79" s="9">
        <v>1</v>
      </c>
      <c r="S79" s="9">
        <v>0.48</v>
      </c>
      <c r="T79" s="10">
        <v>0.7752380426886271</v>
      </c>
      <c r="U79" s="9">
        <v>0.62</v>
      </c>
      <c r="V79" s="9">
        <v>0.91</v>
      </c>
      <c r="W79" s="9">
        <v>0.72</v>
      </c>
      <c r="X79" s="9">
        <v>0.69</v>
      </c>
      <c r="Y79" s="9">
        <v>0.83</v>
      </c>
      <c r="Z79" s="9">
        <v>0.82</v>
      </c>
      <c r="AA79" s="9">
        <v>0.81</v>
      </c>
      <c r="AB79" s="9">
        <v>0.81</v>
      </c>
      <c r="AC79" s="10">
        <v>0.6345975408069047</v>
      </c>
      <c r="AD79" s="9">
        <v>0.66</v>
      </c>
      <c r="AE79" s="9">
        <v>0.64</v>
      </c>
      <c r="AF79" s="9">
        <v>0.55</v>
      </c>
      <c r="AG79" s="9">
        <v>0.69</v>
      </c>
      <c r="AH79" s="10">
        <v>0.5859436094978394</v>
      </c>
      <c r="AI79" s="9">
        <v>0.5</v>
      </c>
      <c r="AJ79" s="9">
        <v>0.56</v>
      </c>
      <c r="AK79" s="9">
        <v>0.63</v>
      </c>
      <c r="AL79" s="9">
        <v>0.54</v>
      </c>
      <c r="AM79" s="9">
        <v>0.71</v>
      </c>
      <c r="AN79" s="10">
        <v>0.5958061293353387</v>
      </c>
      <c r="AO79" s="9">
        <v>0.68</v>
      </c>
      <c r="AP79" s="9">
        <v>0.69</v>
      </c>
      <c r="AQ79" s="9">
        <v>0.64</v>
      </c>
      <c r="AR79" s="9">
        <v>0.66</v>
      </c>
      <c r="AS79" s="9">
        <v>0.28</v>
      </c>
      <c r="AT79" s="9">
        <v>0.41</v>
      </c>
      <c r="AU79" s="9">
        <v>0.81</v>
      </c>
      <c r="AV79" s="10">
        <v>0.5920493786328535</v>
      </c>
      <c r="AW79" s="9">
        <v>0.69</v>
      </c>
      <c r="AX79" s="9">
        <v>0.56</v>
      </c>
      <c r="AY79" s="9">
        <v>0.44</v>
      </c>
      <c r="AZ79" s="9">
        <v>0.61</v>
      </c>
      <c r="BA79" s="9">
        <v>0.62</v>
      </c>
      <c r="BB79" s="9">
        <v>0.52</v>
      </c>
      <c r="BC79" s="9">
        <v>0.72</v>
      </c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15">
      <c r="A80" s="1" t="s">
        <v>39</v>
      </c>
      <c r="B80" s="1" t="s">
        <v>65</v>
      </c>
      <c r="C80" s="1" t="s">
        <v>69</v>
      </c>
      <c r="D80" s="10">
        <v>0.6229821253822355</v>
      </c>
      <c r="E80" s="9">
        <v>0.72</v>
      </c>
      <c r="F80" s="9">
        <v>0.63</v>
      </c>
      <c r="G80" s="9">
        <v>0.53</v>
      </c>
      <c r="H80" s="9">
        <v>0.43</v>
      </c>
      <c r="I80" s="9">
        <v>0.7</v>
      </c>
      <c r="J80" s="9">
        <v>0.73</v>
      </c>
      <c r="K80" s="10">
        <v>0.4988975278620938</v>
      </c>
      <c r="L80" s="9">
        <v>0.39</v>
      </c>
      <c r="M80" s="9">
        <v>0.67</v>
      </c>
      <c r="N80" s="9">
        <v>0.61</v>
      </c>
      <c r="O80" s="9">
        <v>0.33</v>
      </c>
      <c r="P80" s="10">
        <v>0.5583010686617158</v>
      </c>
      <c r="Q80" s="9">
        <v>0.33</v>
      </c>
      <c r="R80" s="9">
        <v>1</v>
      </c>
      <c r="S80" s="9">
        <v>0.34</v>
      </c>
      <c r="T80" s="10">
        <v>0.6427587689166219</v>
      </c>
      <c r="U80" s="9">
        <v>0.49</v>
      </c>
      <c r="V80" s="9">
        <v>0.65</v>
      </c>
      <c r="W80" s="9">
        <v>0.52</v>
      </c>
      <c r="X80" s="9">
        <v>0.7</v>
      </c>
      <c r="Y80" s="9">
        <v>0.78</v>
      </c>
      <c r="Z80" s="9">
        <v>0.6</v>
      </c>
      <c r="AA80" s="9">
        <v>0.78</v>
      </c>
      <c r="AB80" s="9">
        <v>0.62</v>
      </c>
      <c r="AC80" s="10">
        <v>0.6113709106497668</v>
      </c>
      <c r="AD80" s="9">
        <v>0.61</v>
      </c>
      <c r="AE80" s="9">
        <v>0.71</v>
      </c>
      <c r="AF80" s="9">
        <v>0.62</v>
      </c>
      <c r="AG80" s="9">
        <v>0.5</v>
      </c>
      <c r="AH80" s="10">
        <v>0.5431653783370277</v>
      </c>
      <c r="AI80" s="9">
        <v>0.51</v>
      </c>
      <c r="AJ80" s="9">
        <v>0.59</v>
      </c>
      <c r="AK80" s="9">
        <v>0.43</v>
      </c>
      <c r="AL80" s="9">
        <v>0.52</v>
      </c>
      <c r="AM80" s="9">
        <v>0.66</v>
      </c>
      <c r="AN80" s="10">
        <v>0.5470206158831395</v>
      </c>
      <c r="AO80" s="9">
        <v>0.49</v>
      </c>
      <c r="AP80" s="9">
        <v>0.47</v>
      </c>
      <c r="AQ80" s="9">
        <v>0.64</v>
      </c>
      <c r="AR80" s="9">
        <v>0.62</v>
      </c>
      <c r="AS80" s="9">
        <v>0.41</v>
      </c>
      <c r="AT80" s="9">
        <v>0.52</v>
      </c>
      <c r="AU80" s="9">
        <v>0.67</v>
      </c>
      <c r="AV80" s="10">
        <v>0.493221886115064</v>
      </c>
      <c r="AW80" s="9">
        <v>0.44</v>
      </c>
      <c r="AX80" s="9">
        <v>0.46</v>
      </c>
      <c r="AY80" s="9">
        <v>0.26</v>
      </c>
      <c r="AZ80" s="9">
        <v>0.51</v>
      </c>
      <c r="BA80" s="9">
        <v>0.62</v>
      </c>
      <c r="BB80" s="9">
        <v>0.64</v>
      </c>
      <c r="BC80" s="9">
        <v>0.52</v>
      </c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ht="15">
      <c r="A81" s="1" t="s">
        <v>40</v>
      </c>
      <c r="B81" s="1" t="s">
        <v>63</v>
      </c>
      <c r="C81" s="1" t="s">
        <v>71</v>
      </c>
      <c r="D81" s="10">
        <v>0.7528438321305493</v>
      </c>
      <c r="E81" s="9">
        <v>0.8</v>
      </c>
      <c r="F81" s="9">
        <v>0.74</v>
      </c>
      <c r="G81" s="9">
        <v>0.6</v>
      </c>
      <c r="H81" s="9">
        <v>0.58</v>
      </c>
      <c r="I81" s="9">
        <v>0.85</v>
      </c>
      <c r="J81" s="9">
        <v>0.95</v>
      </c>
      <c r="K81" s="10">
        <v>0.8009415211388249</v>
      </c>
      <c r="L81" s="9">
        <v>0.74</v>
      </c>
      <c r="M81" s="9">
        <v>0.84</v>
      </c>
      <c r="N81" s="9">
        <v>0.9</v>
      </c>
      <c r="O81" s="9">
        <v>0.72</v>
      </c>
      <c r="P81" s="10">
        <v>0.7883561216944427</v>
      </c>
      <c r="Q81" s="9">
        <v>0.9</v>
      </c>
      <c r="R81" s="9">
        <v>1</v>
      </c>
      <c r="S81" s="9">
        <v>0.46</v>
      </c>
      <c r="T81" s="10">
        <v>0.8570335231789831</v>
      </c>
      <c r="U81" s="9">
        <v>0.77</v>
      </c>
      <c r="V81" s="9">
        <v>0.86</v>
      </c>
      <c r="W81" s="9">
        <v>0.82</v>
      </c>
      <c r="X81" s="9">
        <v>0.85</v>
      </c>
      <c r="Y81" s="9">
        <v>0.85</v>
      </c>
      <c r="Z81" s="9">
        <v>0.86</v>
      </c>
      <c r="AA81" s="9">
        <v>0.97</v>
      </c>
      <c r="AB81" s="9">
        <v>0.89</v>
      </c>
      <c r="AC81" s="10">
        <v>0.6137246650841781</v>
      </c>
      <c r="AD81" s="9">
        <v>0.74</v>
      </c>
      <c r="AE81" s="9">
        <v>0.62</v>
      </c>
      <c r="AF81" s="9">
        <v>0.57</v>
      </c>
      <c r="AG81" s="9">
        <v>0.52</v>
      </c>
      <c r="AH81" s="10">
        <v>0.6741752902055318</v>
      </c>
      <c r="AI81" s="9">
        <v>0.7</v>
      </c>
      <c r="AJ81" s="9">
        <v>0.82</v>
      </c>
      <c r="AK81" s="9">
        <v>0.56</v>
      </c>
      <c r="AL81" s="9">
        <v>0.64</v>
      </c>
      <c r="AM81" s="9">
        <v>0.65</v>
      </c>
      <c r="AN81" s="10">
        <v>0.6456055281666871</v>
      </c>
      <c r="AO81" s="9">
        <v>0.72</v>
      </c>
      <c r="AP81" s="9">
        <v>0.78</v>
      </c>
      <c r="AQ81" s="9">
        <v>0.77</v>
      </c>
      <c r="AR81" s="9">
        <v>0.68</v>
      </c>
      <c r="AS81" s="9">
        <v>0.4</v>
      </c>
      <c r="AT81" s="9">
        <v>0.46</v>
      </c>
      <c r="AU81" s="9">
        <v>0.71</v>
      </c>
      <c r="AV81" s="10">
        <v>0.692366032303946</v>
      </c>
      <c r="AW81" s="9">
        <v>0.61</v>
      </c>
      <c r="AX81" s="9">
        <v>0.55</v>
      </c>
      <c r="AY81" s="9">
        <v>0.66</v>
      </c>
      <c r="AZ81" s="9">
        <v>0.68</v>
      </c>
      <c r="BA81" s="9">
        <v>0.82</v>
      </c>
      <c r="BB81" s="9">
        <v>0.71</v>
      </c>
      <c r="BC81" s="9">
        <v>0.82</v>
      </c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15">
      <c r="A82" s="1" t="s">
        <v>109</v>
      </c>
      <c r="B82" s="5" t="s">
        <v>64</v>
      </c>
      <c r="C82" s="1" t="s">
        <v>68</v>
      </c>
      <c r="D82" s="10">
        <v>0.56319800613649</v>
      </c>
      <c r="E82" s="9">
        <v>0.6</v>
      </c>
      <c r="F82" s="9">
        <v>0.59</v>
      </c>
      <c r="G82" s="9">
        <v>0.5</v>
      </c>
      <c r="H82" s="9">
        <v>0.48</v>
      </c>
      <c r="I82" s="9">
        <v>0.63</v>
      </c>
      <c r="J82" s="9">
        <v>0.58</v>
      </c>
      <c r="K82" s="10">
        <v>0.5095327575651021</v>
      </c>
      <c r="L82" s="9">
        <v>0.52</v>
      </c>
      <c r="M82" s="9">
        <v>0.64</v>
      </c>
      <c r="N82" s="9">
        <v>0.62</v>
      </c>
      <c r="O82" s="9">
        <v>0.26</v>
      </c>
      <c r="P82" s="10">
        <v>0.5350541490666928</v>
      </c>
      <c r="Q82" s="9">
        <v>0.91</v>
      </c>
      <c r="R82" s="9">
        <v>0.37</v>
      </c>
      <c r="S82" s="9">
        <v>0.32</v>
      </c>
      <c r="T82" s="10">
        <v>0.5998659227333811</v>
      </c>
      <c r="U82" s="9">
        <v>0.64</v>
      </c>
      <c r="V82" s="9">
        <v>0.35</v>
      </c>
      <c r="W82" s="9">
        <v>0.42</v>
      </c>
      <c r="X82" s="9">
        <v>0.63</v>
      </c>
      <c r="Y82" s="9">
        <v>0.78</v>
      </c>
      <c r="Z82" s="9">
        <v>0.46</v>
      </c>
      <c r="AA82" s="9">
        <v>0.68</v>
      </c>
      <c r="AB82" s="9">
        <v>0.83</v>
      </c>
      <c r="AC82" s="10">
        <v>0.4997286989730364</v>
      </c>
      <c r="AD82" s="9">
        <v>0.53</v>
      </c>
      <c r="AE82" s="9">
        <v>0.64</v>
      </c>
      <c r="AF82" s="9">
        <v>0.6</v>
      </c>
      <c r="AG82" s="9">
        <v>0.22</v>
      </c>
      <c r="AH82" s="10">
        <v>0.5212568253610119</v>
      </c>
      <c r="AI82" s="9">
        <v>0.54</v>
      </c>
      <c r="AJ82" s="9">
        <v>0.52</v>
      </c>
      <c r="AK82" s="9">
        <v>0.57</v>
      </c>
      <c r="AL82" s="9">
        <v>0.41</v>
      </c>
      <c r="AM82" s="9">
        <v>0.56</v>
      </c>
      <c r="AN82" s="10">
        <v>0.5226857386755518</v>
      </c>
      <c r="AO82" s="9">
        <v>0.45</v>
      </c>
      <c r="AP82" s="9">
        <v>0.42</v>
      </c>
      <c r="AQ82" s="9">
        <v>0.56</v>
      </c>
      <c r="AR82" s="9">
        <v>0.67</v>
      </c>
      <c r="AS82" s="9">
        <v>0.28</v>
      </c>
      <c r="AT82" s="9">
        <v>0.58</v>
      </c>
      <c r="AU82" s="9">
        <v>0.7</v>
      </c>
      <c r="AV82" s="10">
        <v>0.6163562258873396</v>
      </c>
      <c r="AW82" s="9">
        <v>0.68</v>
      </c>
      <c r="AX82" s="9">
        <v>0.52</v>
      </c>
      <c r="AY82" s="9">
        <v>0.44</v>
      </c>
      <c r="AZ82" s="9">
        <v>0.78</v>
      </c>
      <c r="BA82" s="9">
        <v>0.72</v>
      </c>
      <c r="BB82" s="9">
        <v>0.75</v>
      </c>
      <c r="BC82" s="9">
        <v>0.42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ht="15">
      <c r="A83" s="1" t="s">
        <v>41</v>
      </c>
      <c r="B83" s="1" t="s">
        <v>63</v>
      </c>
      <c r="C83" s="1" t="s">
        <v>71</v>
      </c>
      <c r="D83" s="10">
        <v>0.9162598824751477</v>
      </c>
      <c r="E83" s="9">
        <v>0.89</v>
      </c>
      <c r="F83" s="9">
        <v>0.88</v>
      </c>
      <c r="G83" s="9">
        <v>0.93</v>
      </c>
      <c r="H83" s="9">
        <v>0.88</v>
      </c>
      <c r="I83" s="9">
        <v>0.94</v>
      </c>
      <c r="J83" s="9">
        <v>0.99</v>
      </c>
      <c r="K83" s="10">
        <v>0.9564096107856281</v>
      </c>
      <c r="L83" s="9">
        <v>0.94</v>
      </c>
      <c r="M83" s="9">
        <v>0.96</v>
      </c>
      <c r="N83" s="9">
        <v>0.98</v>
      </c>
      <c r="O83" s="9">
        <v>0.95</v>
      </c>
      <c r="P83" s="10">
        <v>0.8891859770861466</v>
      </c>
      <c r="Q83" s="9">
        <v>0.91</v>
      </c>
      <c r="R83" s="9">
        <v>1</v>
      </c>
      <c r="S83" s="9">
        <v>0.76</v>
      </c>
      <c r="T83" s="10">
        <v>0.9289394913743426</v>
      </c>
      <c r="U83" s="9">
        <v>0.83</v>
      </c>
      <c r="V83" s="9">
        <v>0.97</v>
      </c>
      <c r="W83" s="9">
        <v>0.93</v>
      </c>
      <c r="X83" s="9">
        <v>0.94</v>
      </c>
      <c r="Y83" s="9">
        <v>0.93</v>
      </c>
      <c r="Z83" s="9">
        <v>0.95</v>
      </c>
      <c r="AA83" s="9">
        <v>0.98</v>
      </c>
      <c r="AB83" s="9">
        <v>0.9</v>
      </c>
      <c r="AC83" s="10">
        <v>0.9345737291915021</v>
      </c>
      <c r="AD83" s="9">
        <v>0.95</v>
      </c>
      <c r="AE83" s="9">
        <v>0.95</v>
      </c>
      <c r="AF83" s="9">
        <v>0.96</v>
      </c>
      <c r="AG83" s="9">
        <v>0.89</v>
      </c>
      <c r="AH83" s="10">
        <v>0.8927512311056656</v>
      </c>
      <c r="AI83" s="9">
        <v>0.88</v>
      </c>
      <c r="AJ83" s="9">
        <v>0.91</v>
      </c>
      <c r="AK83" s="9">
        <v>0.91</v>
      </c>
      <c r="AL83" s="9">
        <v>0.9</v>
      </c>
      <c r="AM83" s="9">
        <v>0.86</v>
      </c>
      <c r="AN83" s="10">
        <v>0.7780176641614615</v>
      </c>
      <c r="AO83" s="9">
        <v>0.77</v>
      </c>
      <c r="AP83" s="9">
        <v>0.8</v>
      </c>
      <c r="AQ83" s="9">
        <v>0.92</v>
      </c>
      <c r="AR83" s="9">
        <v>0.85</v>
      </c>
      <c r="AS83" s="9">
        <v>0.55</v>
      </c>
      <c r="AT83" s="9">
        <v>0.83</v>
      </c>
      <c r="AU83" s="9">
        <v>0.72</v>
      </c>
      <c r="AV83" s="10">
        <v>0.8230554054628668</v>
      </c>
      <c r="AW83" s="9">
        <v>0.63</v>
      </c>
      <c r="AX83" s="9">
        <v>0.73</v>
      </c>
      <c r="AY83" s="9">
        <v>0.77</v>
      </c>
      <c r="AZ83" s="9">
        <v>0.89</v>
      </c>
      <c r="BA83" s="9">
        <v>0.93</v>
      </c>
      <c r="BB83" s="9">
        <v>0.88</v>
      </c>
      <c r="BC83" s="9">
        <v>0.93</v>
      </c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15">
      <c r="A84" s="1" t="s">
        <v>110</v>
      </c>
      <c r="B84" s="1" t="s">
        <v>65</v>
      </c>
      <c r="C84" s="1" t="s">
        <v>73</v>
      </c>
      <c r="D84" s="10">
        <v>0.5461744134229054</v>
      </c>
      <c r="E84" s="9">
        <v>0.66</v>
      </c>
      <c r="F84" s="9">
        <v>0.5</v>
      </c>
      <c r="G84" s="9">
        <v>0.46</v>
      </c>
      <c r="H84" s="9">
        <v>0.5</v>
      </c>
      <c r="I84" s="9">
        <v>0.59</v>
      </c>
      <c r="J84" s="9">
        <v>0.56</v>
      </c>
      <c r="K84" s="10">
        <v>0.4060236499845927</v>
      </c>
      <c r="L84" s="9">
        <v>0.44</v>
      </c>
      <c r="M84" s="9">
        <v>0.41</v>
      </c>
      <c r="N84" s="9">
        <v>0.4</v>
      </c>
      <c r="O84" s="9">
        <v>0.38</v>
      </c>
      <c r="P84" s="10">
        <v>0.6052464291138907</v>
      </c>
      <c r="Q84" s="9">
        <v>0.56</v>
      </c>
      <c r="R84" s="9">
        <v>1</v>
      </c>
      <c r="S84" s="9">
        <v>0.26</v>
      </c>
      <c r="T84" s="10">
        <v>0.5258554743577373</v>
      </c>
      <c r="U84" s="9">
        <v>0.54</v>
      </c>
      <c r="V84" s="9">
        <v>0.46</v>
      </c>
      <c r="W84" s="9">
        <v>0.38</v>
      </c>
      <c r="X84" s="9">
        <v>0.59</v>
      </c>
      <c r="Y84" s="9">
        <v>0.64</v>
      </c>
      <c r="Z84" s="9">
        <v>0.46</v>
      </c>
      <c r="AA84" s="9">
        <v>0.6</v>
      </c>
      <c r="AB84" s="9">
        <v>0.53</v>
      </c>
      <c r="AC84" s="10">
        <v>0.41146206232529353</v>
      </c>
      <c r="AD84" s="9">
        <v>0.41</v>
      </c>
      <c r="AE84" s="9">
        <v>0.29</v>
      </c>
      <c r="AF84" s="9">
        <v>0.57</v>
      </c>
      <c r="AG84" s="9">
        <v>0.37</v>
      </c>
      <c r="AH84" s="10">
        <v>0.4417459179999472</v>
      </c>
      <c r="AI84" s="9">
        <v>0.34</v>
      </c>
      <c r="AJ84" s="9">
        <v>0.33</v>
      </c>
      <c r="AK84" s="9">
        <v>0.39</v>
      </c>
      <c r="AL84" s="9">
        <v>0.59</v>
      </c>
      <c r="AM84" s="9">
        <v>0.56</v>
      </c>
      <c r="AN84" s="10">
        <v>0.48477860522136645</v>
      </c>
      <c r="AO84" s="9">
        <v>0.47</v>
      </c>
      <c r="AP84" s="9">
        <v>0.5</v>
      </c>
      <c r="AQ84" s="9">
        <v>0.34</v>
      </c>
      <c r="AR84" s="9">
        <v>0.56</v>
      </c>
      <c r="AS84" s="9">
        <v>0.37</v>
      </c>
      <c r="AT84" s="9">
        <v>0.53</v>
      </c>
      <c r="AU84" s="9">
        <v>0.63</v>
      </c>
      <c r="AV84" s="10">
        <v>0.48737149278533537</v>
      </c>
      <c r="AW84" s="9">
        <v>0.54</v>
      </c>
      <c r="AX84" s="9">
        <v>0.55</v>
      </c>
      <c r="AY84" s="9">
        <v>0.24</v>
      </c>
      <c r="AZ84" s="9">
        <v>0.52</v>
      </c>
      <c r="BA84" s="9">
        <v>0.47</v>
      </c>
      <c r="BB84" s="9">
        <v>0.71</v>
      </c>
      <c r="BC84" s="9">
        <v>0.38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ht="15">
      <c r="A85" s="1" t="s">
        <v>111</v>
      </c>
      <c r="B85" s="1" t="s">
        <v>62</v>
      </c>
      <c r="C85" s="1" t="s">
        <v>69</v>
      </c>
      <c r="D85" s="10">
        <v>0.5346279579107712</v>
      </c>
      <c r="E85" s="9">
        <v>0.67</v>
      </c>
      <c r="F85" s="9">
        <v>0.49</v>
      </c>
      <c r="G85" s="9">
        <v>0.46</v>
      </c>
      <c r="H85" s="9">
        <v>0.48</v>
      </c>
      <c r="I85" s="9">
        <v>0.66</v>
      </c>
      <c r="J85" s="9">
        <v>0.45</v>
      </c>
      <c r="K85" s="10">
        <v>0.40724171413512933</v>
      </c>
      <c r="L85" s="9">
        <v>0.43</v>
      </c>
      <c r="M85" s="9">
        <v>0.58</v>
      </c>
      <c r="N85" s="9">
        <v>0.56</v>
      </c>
      <c r="O85" s="9">
        <v>0.06</v>
      </c>
      <c r="P85" s="10">
        <v>0.6308878162988413</v>
      </c>
      <c r="Q85" s="9">
        <v>0.89</v>
      </c>
      <c r="R85" s="9">
        <v>0.58</v>
      </c>
      <c r="S85" s="9">
        <v>0.42</v>
      </c>
      <c r="T85" s="10">
        <v>0.65850912528813</v>
      </c>
      <c r="U85" s="9">
        <v>0.61</v>
      </c>
      <c r="V85" s="9">
        <v>0.6</v>
      </c>
      <c r="W85" s="9">
        <v>0.58</v>
      </c>
      <c r="X85" s="9">
        <v>0.66</v>
      </c>
      <c r="Y85" s="9">
        <v>0.68</v>
      </c>
      <c r="Z85" s="9">
        <v>0.75</v>
      </c>
      <c r="AA85" s="9">
        <v>0.73</v>
      </c>
      <c r="AB85" s="9">
        <v>0.66</v>
      </c>
      <c r="AC85" s="10">
        <v>0.504126900646748</v>
      </c>
      <c r="AD85" s="9">
        <v>0.49</v>
      </c>
      <c r="AE85" s="9">
        <v>0.49</v>
      </c>
      <c r="AF85" s="9">
        <v>0.61</v>
      </c>
      <c r="AG85" s="9">
        <v>0.43</v>
      </c>
      <c r="AH85" s="10">
        <v>0.507411416323399</v>
      </c>
      <c r="AI85" s="9">
        <v>0.43</v>
      </c>
      <c r="AJ85" s="9">
        <v>0.62</v>
      </c>
      <c r="AK85" s="9">
        <v>0.37</v>
      </c>
      <c r="AL85" s="9">
        <v>0.61</v>
      </c>
      <c r="AM85" s="9">
        <v>0.5</v>
      </c>
      <c r="AN85" s="10">
        <v>0.4320854545390888</v>
      </c>
      <c r="AO85" s="9">
        <v>0.5</v>
      </c>
      <c r="AP85" s="9">
        <v>0.35</v>
      </c>
      <c r="AQ85" s="9">
        <v>0.58</v>
      </c>
      <c r="AR85" s="9">
        <v>0.5</v>
      </c>
      <c r="AS85" s="9">
        <v>0.32</v>
      </c>
      <c r="AT85" s="9">
        <v>0.36</v>
      </c>
      <c r="AU85" s="9">
        <v>0.42</v>
      </c>
      <c r="AV85" s="10">
        <v>0.5927417274243881</v>
      </c>
      <c r="AW85" s="9">
        <v>0.6</v>
      </c>
      <c r="AX85" s="9">
        <v>0.55</v>
      </c>
      <c r="AY85" s="9">
        <v>0.62</v>
      </c>
      <c r="AZ85" s="9">
        <v>0.53</v>
      </c>
      <c r="BA85" s="9">
        <v>0.66</v>
      </c>
      <c r="BB85" s="9">
        <v>0.6</v>
      </c>
      <c r="BC85" s="9">
        <v>0.58</v>
      </c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ht="15">
      <c r="A86" s="1" t="s">
        <v>112</v>
      </c>
      <c r="B86" s="1" t="s">
        <v>66</v>
      </c>
      <c r="C86" s="1" t="s">
        <v>69</v>
      </c>
      <c r="D86" s="10">
        <v>0.5753300220262813</v>
      </c>
      <c r="E86" s="9">
        <v>0.68</v>
      </c>
      <c r="F86" s="9">
        <v>0.55</v>
      </c>
      <c r="G86" s="9">
        <v>0.51</v>
      </c>
      <c r="H86" s="9">
        <v>0.5</v>
      </c>
      <c r="I86" s="9">
        <v>0.6</v>
      </c>
      <c r="J86" s="9">
        <v>0.61</v>
      </c>
      <c r="K86" s="10">
        <v>0.5186056692359796</v>
      </c>
      <c r="L86" s="9">
        <v>0.55</v>
      </c>
      <c r="M86" s="9">
        <v>0.55</v>
      </c>
      <c r="N86" s="9">
        <v>0.48</v>
      </c>
      <c r="O86" s="9">
        <v>0.49</v>
      </c>
      <c r="P86" s="10">
        <v>0.7869301526135661</v>
      </c>
      <c r="Q86" s="9">
        <v>0.84</v>
      </c>
      <c r="R86" s="9">
        <v>1</v>
      </c>
      <c r="S86" s="9">
        <v>0.52</v>
      </c>
      <c r="T86" s="10">
        <v>0.559919245698609</v>
      </c>
      <c r="U86" s="9">
        <v>0.62</v>
      </c>
      <c r="V86" s="9">
        <v>0.54</v>
      </c>
      <c r="W86" s="9">
        <v>0.44</v>
      </c>
      <c r="X86" s="9">
        <v>0.61</v>
      </c>
      <c r="Y86" s="9">
        <v>0.61</v>
      </c>
      <c r="Z86" s="9">
        <v>0.5</v>
      </c>
      <c r="AA86" s="9">
        <v>0.6</v>
      </c>
      <c r="AB86" s="9">
        <v>0.56</v>
      </c>
      <c r="AC86" s="10">
        <v>0.46465266645672265</v>
      </c>
      <c r="AD86" s="9">
        <v>0.5</v>
      </c>
      <c r="AE86" s="9">
        <v>0.59</v>
      </c>
      <c r="AF86" s="9">
        <v>0.43</v>
      </c>
      <c r="AG86" s="9">
        <v>0.34</v>
      </c>
      <c r="AH86" s="10">
        <v>0.5467283972384969</v>
      </c>
      <c r="AI86" s="9">
        <v>0.6</v>
      </c>
      <c r="AJ86" s="9">
        <v>0.55</v>
      </c>
      <c r="AK86" s="9">
        <v>0.48</v>
      </c>
      <c r="AL86" s="9">
        <v>0.42</v>
      </c>
      <c r="AM86" s="9">
        <v>0.68</v>
      </c>
      <c r="AN86" s="10">
        <v>0.5555957937673787</v>
      </c>
      <c r="AO86" s="9">
        <v>0.61</v>
      </c>
      <c r="AP86" s="9">
        <v>0.71</v>
      </c>
      <c r="AQ86" s="9">
        <v>0.48</v>
      </c>
      <c r="AR86" s="9">
        <v>0.69</v>
      </c>
      <c r="AS86" s="9">
        <v>0.41</v>
      </c>
      <c r="AT86" s="9">
        <v>0.36</v>
      </c>
      <c r="AU86" s="9">
        <v>0.63</v>
      </c>
      <c r="AV86" s="10">
        <v>0.5245987195628233</v>
      </c>
      <c r="AW86" s="9">
        <v>0.6</v>
      </c>
      <c r="AX86" s="9">
        <v>0.58</v>
      </c>
      <c r="AY86" s="9">
        <v>0.39</v>
      </c>
      <c r="AZ86" s="9">
        <v>0.52</v>
      </c>
      <c r="BA86" s="9">
        <v>0.5</v>
      </c>
      <c r="BB86" s="9">
        <v>0.64</v>
      </c>
      <c r="BC86" s="9">
        <v>0.44</v>
      </c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ht="15">
      <c r="A87" s="1" t="s">
        <v>113</v>
      </c>
      <c r="B87" s="1" t="s">
        <v>60</v>
      </c>
      <c r="C87" s="1" t="s">
        <v>69</v>
      </c>
      <c r="D87" s="10">
        <v>0.4736824821320826</v>
      </c>
      <c r="E87" s="9">
        <v>0.52</v>
      </c>
      <c r="F87" s="9">
        <v>0.46</v>
      </c>
      <c r="G87" s="9">
        <v>0.39</v>
      </c>
      <c r="H87" s="9">
        <v>0.45</v>
      </c>
      <c r="I87" s="9">
        <v>0.43</v>
      </c>
      <c r="J87" s="9">
        <v>0.6</v>
      </c>
      <c r="K87" s="10">
        <v>0.5520249077521141</v>
      </c>
      <c r="L87" s="9">
        <v>0.51</v>
      </c>
      <c r="M87" s="9">
        <v>0.61</v>
      </c>
      <c r="N87" s="9">
        <v>0.54</v>
      </c>
      <c r="O87" s="9">
        <v>0.55</v>
      </c>
      <c r="P87" s="10">
        <v>0.6313748108044059</v>
      </c>
      <c r="Q87" s="9">
        <v>0.77</v>
      </c>
      <c r="R87" s="9">
        <v>0.67</v>
      </c>
      <c r="S87" s="9">
        <v>0.46</v>
      </c>
      <c r="T87" s="10">
        <v>0.49380248877904065</v>
      </c>
      <c r="U87" s="9">
        <v>0.58</v>
      </c>
      <c r="V87" s="9">
        <v>0.54</v>
      </c>
      <c r="W87" s="9">
        <v>0.54</v>
      </c>
      <c r="X87" s="9">
        <v>0.44</v>
      </c>
      <c r="Y87" s="9">
        <v>0.59</v>
      </c>
      <c r="Z87" s="9">
        <v>0.36</v>
      </c>
      <c r="AA87" s="9">
        <v>0.52</v>
      </c>
      <c r="AB87" s="9">
        <v>0.38</v>
      </c>
      <c r="AC87" s="10">
        <v>0.46208973568719136</v>
      </c>
      <c r="AD87" s="9">
        <v>0.56</v>
      </c>
      <c r="AE87" s="9">
        <v>0.64</v>
      </c>
      <c r="AF87" s="9">
        <v>0.28</v>
      </c>
      <c r="AG87" s="9">
        <v>0.37</v>
      </c>
      <c r="AH87" s="10">
        <v>0.5463169016677869</v>
      </c>
      <c r="AI87" s="9">
        <v>0.43</v>
      </c>
      <c r="AJ87" s="9">
        <v>0.47</v>
      </c>
      <c r="AK87" s="9">
        <v>0.66</v>
      </c>
      <c r="AL87" s="9">
        <v>0.54</v>
      </c>
      <c r="AM87" s="9">
        <v>0.63</v>
      </c>
      <c r="AN87" s="10">
        <v>0.5517525178054746</v>
      </c>
      <c r="AO87" s="9">
        <v>0.54</v>
      </c>
      <c r="AP87" s="9">
        <v>0.65</v>
      </c>
      <c r="AQ87" s="9">
        <v>0.6</v>
      </c>
      <c r="AR87" s="9">
        <v>0.54</v>
      </c>
      <c r="AS87" s="9">
        <v>0.44</v>
      </c>
      <c r="AT87" s="9">
        <v>0.43</v>
      </c>
      <c r="AU87" s="9">
        <v>0.67</v>
      </c>
      <c r="AV87" s="10">
        <v>0.4195073766555294</v>
      </c>
      <c r="AW87" s="9">
        <v>0.43</v>
      </c>
      <c r="AX87" s="9">
        <v>0.26</v>
      </c>
      <c r="AY87" s="9">
        <v>0.4</v>
      </c>
      <c r="AZ87" s="9">
        <v>0.41</v>
      </c>
      <c r="BA87" s="9">
        <v>0.51</v>
      </c>
      <c r="BB87" s="9">
        <v>0.39</v>
      </c>
      <c r="BC87" s="9">
        <v>0.54</v>
      </c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ht="15">
      <c r="A88" s="1" t="s">
        <v>50</v>
      </c>
      <c r="B88" s="1" t="s">
        <v>66</v>
      </c>
      <c r="C88" s="1" t="s">
        <v>71</v>
      </c>
      <c r="D88" s="10">
        <v>0.5530594951391282</v>
      </c>
      <c r="E88" s="9">
        <v>0.5</v>
      </c>
      <c r="F88" s="9">
        <v>0.61</v>
      </c>
      <c r="G88" s="9">
        <v>0.63</v>
      </c>
      <c r="H88" s="9">
        <v>0.72</v>
      </c>
      <c r="I88" s="9">
        <v>0.32</v>
      </c>
      <c r="J88" s="9">
        <v>0.54</v>
      </c>
      <c r="K88" s="10">
        <v>0.7444480814389585</v>
      </c>
      <c r="L88" s="9">
        <v>0.76</v>
      </c>
      <c r="M88" s="9">
        <v>0.78</v>
      </c>
      <c r="N88" s="9">
        <v>0.71</v>
      </c>
      <c r="O88" s="9">
        <v>0.73</v>
      </c>
      <c r="P88" s="10">
        <v>0.9102678053356672</v>
      </c>
      <c r="Q88" s="9">
        <v>0.98</v>
      </c>
      <c r="R88" s="9">
        <v>1</v>
      </c>
      <c r="S88" s="9">
        <v>0.75</v>
      </c>
      <c r="T88" s="10">
        <v>0.4714024089582414</v>
      </c>
      <c r="U88" s="9">
        <v>0.48</v>
      </c>
      <c r="V88" s="9">
        <v>0.65</v>
      </c>
      <c r="W88" s="9">
        <v>0.66</v>
      </c>
      <c r="X88" s="9">
        <v>0.31</v>
      </c>
      <c r="Y88" s="9">
        <v>0.32</v>
      </c>
      <c r="Z88" s="9">
        <v>0.51</v>
      </c>
      <c r="AA88" s="9">
        <v>0.25</v>
      </c>
      <c r="AB88" s="9">
        <v>0.59</v>
      </c>
      <c r="AC88" s="10">
        <v>0.4382146643709376</v>
      </c>
      <c r="AD88" s="9">
        <v>0.58</v>
      </c>
      <c r="AE88" s="9">
        <v>0.55</v>
      </c>
      <c r="AF88" s="9">
        <v>0.42</v>
      </c>
      <c r="AG88" s="9">
        <v>0.2</v>
      </c>
      <c r="AH88" s="10">
        <v>0.6452852015636557</v>
      </c>
      <c r="AI88" s="9">
        <v>0.69</v>
      </c>
      <c r="AJ88" s="9">
        <v>0.76</v>
      </c>
      <c r="AK88" s="9">
        <v>0.64</v>
      </c>
      <c r="AL88" s="9">
        <v>0.58</v>
      </c>
      <c r="AM88" s="9">
        <v>0.57</v>
      </c>
      <c r="AN88" s="10">
        <v>0.6037091324598919</v>
      </c>
      <c r="AO88" s="9">
        <v>0.5</v>
      </c>
      <c r="AP88" s="9">
        <v>0.44</v>
      </c>
      <c r="AQ88" s="9">
        <v>0.74</v>
      </c>
      <c r="AR88" s="9">
        <v>0.7</v>
      </c>
      <c r="AS88" s="9">
        <v>0.57</v>
      </c>
      <c r="AT88" s="9">
        <v>0.61</v>
      </c>
      <c r="AU88" s="9">
        <v>0.66</v>
      </c>
      <c r="AV88" s="10">
        <v>0.7486490772698708</v>
      </c>
      <c r="AW88" s="9">
        <v>0.88</v>
      </c>
      <c r="AX88" s="9">
        <v>0.73</v>
      </c>
      <c r="AY88" s="9">
        <v>0.72</v>
      </c>
      <c r="AZ88" s="9">
        <v>0.8</v>
      </c>
      <c r="BA88" s="9">
        <v>0.73</v>
      </c>
      <c r="BB88" s="9">
        <v>0.72</v>
      </c>
      <c r="BC88" s="9">
        <v>0.66</v>
      </c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ht="15">
      <c r="A89" s="1" t="s">
        <v>42</v>
      </c>
      <c r="B89" s="1" t="s">
        <v>65</v>
      </c>
      <c r="C89" s="1" t="s">
        <v>73</v>
      </c>
      <c r="D89" s="10">
        <v>0.43414338876653374</v>
      </c>
      <c r="E89" s="9">
        <v>0.46</v>
      </c>
      <c r="F89" s="9">
        <v>0.48</v>
      </c>
      <c r="G89" s="9">
        <v>0.36</v>
      </c>
      <c r="H89" s="9">
        <v>0.44</v>
      </c>
      <c r="I89" s="9">
        <v>0.47</v>
      </c>
      <c r="J89" s="9">
        <v>0.39</v>
      </c>
      <c r="K89" s="10">
        <v>0.3217303251355873</v>
      </c>
      <c r="L89" s="9">
        <v>0.3</v>
      </c>
      <c r="M89" s="9">
        <v>0.43</v>
      </c>
      <c r="N89" s="9">
        <v>0.25</v>
      </c>
      <c r="O89" s="9">
        <v>0.31</v>
      </c>
      <c r="P89" s="10">
        <v>0.4786579291132263</v>
      </c>
      <c r="Q89" s="9">
        <v>0.53</v>
      </c>
      <c r="R89" s="9">
        <v>0.66</v>
      </c>
      <c r="S89" s="9">
        <v>0.25</v>
      </c>
      <c r="T89" s="10">
        <v>0.4344624163819546</v>
      </c>
      <c r="U89" s="9">
        <v>0.49</v>
      </c>
      <c r="V89" s="9">
        <v>0.33</v>
      </c>
      <c r="W89" s="9">
        <v>0.29</v>
      </c>
      <c r="X89" s="9">
        <v>0.47</v>
      </c>
      <c r="Y89" s="9">
        <v>0.67</v>
      </c>
      <c r="Z89" s="9">
        <v>0.2</v>
      </c>
      <c r="AA89" s="9">
        <v>0.58</v>
      </c>
      <c r="AB89" s="9">
        <v>0.43</v>
      </c>
      <c r="AC89" s="10">
        <v>0.35770945461525844</v>
      </c>
      <c r="AD89" s="9">
        <v>0.32</v>
      </c>
      <c r="AE89" s="9">
        <v>0.29</v>
      </c>
      <c r="AF89" s="9">
        <v>0.5</v>
      </c>
      <c r="AG89" s="9">
        <v>0.32</v>
      </c>
      <c r="AH89" s="10">
        <v>0.38315241223199087</v>
      </c>
      <c r="AI89" s="9">
        <v>0.34</v>
      </c>
      <c r="AJ89" s="9">
        <v>0.28</v>
      </c>
      <c r="AK89" s="9">
        <v>0.26</v>
      </c>
      <c r="AL89" s="9">
        <v>0.51</v>
      </c>
      <c r="AM89" s="9">
        <v>0.54</v>
      </c>
      <c r="AN89" s="10">
        <v>0.5128121901657511</v>
      </c>
      <c r="AO89" s="9">
        <v>0.53</v>
      </c>
      <c r="AP89" s="9">
        <v>0.53</v>
      </c>
      <c r="AQ89" s="9">
        <v>0.42</v>
      </c>
      <c r="AR89" s="9">
        <v>0.56</v>
      </c>
      <c r="AS89" s="9">
        <v>0.29</v>
      </c>
      <c r="AT89" s="9">
        <v>0.54</v>
      </c>
      <c r="AU89" s="9">
        <v>0.72</v>
      </c>
      <c r="AV89" s="10">
        <v>0.43085187284066206</v>
      </c>
      <c r="AW89" s="9">
        <v>0.54</v>
      </c>
      <c r="AX89" s="9">
        <v>0.41</v>
      </c>
      <c r="AY89" s="9">
        <v>0.39</v>
      </c>
      <c r="AZ89" s="9">
        <v>0.42</v>
      </c>
      <c r="BA89" s="9">
        <v>0.36</v>
      </c>
      <c r="BB89" s="9">
        <v>0.6</v>
      </c>
      <c r="BC89" s="9">
        <v>0.29</v>
      </c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ht="15">
      <c r="A90" s="1" t="s">
        <v>43</v>
      </c>
      <c r="B90" s="1" t="s">
        <v>60</v>
      </c>
      <c r="C90" s="1" t="s">
        <v>68</v>
      </c>
      <c r="D90" s="10">
        <v>0.3612442225458212</v>
      </c>
      <c r="E90" s="9">
        <v>0.41</v>
      </c>
      <c r="F90" s="9">
        <v>0.23</v>
      </c>
      <c r="G90" s="9">
        <v>0.25</v>
      </c>
      <c r="H90" s="9">
        <v>0.25</v>
      </c>
      <c r="I90" s="9">
        <v>0.52</v>
      </c>
      <c r="J90" s="9">
        <v>0.51</v>
      </c>
      <c r="K90" s="10">
        <v>0.254948713361401</v>
      </c>
      <c r="L90" s="9">
        <v>0.24</v>
      </c>
      <c r="M90" s="9">
        <v>0.38</v>
      </c>
      <c r="N90" s="9">
        <v>0.38</v>
      </c>
      <c r="O90" s="9">
        <v>0.02</v>
      </c>
      <c r="P90" s="10">
        <v>0.744075651337249</v>
      </c>
      <c r="Q90" s="9">
        <v>0.78</v>
      </c>
      <c r="R90" s="9">
        <v>1</v>
      </c>
      <c r="S90" s="9">
        <v>0.45</v>
      </c>
      <c r="T90" s="10">
        <v>0.5827695362136333</v>
      </c>
      <c r="U90" s="9">
        <v>0.62</v>
      </c>
      <c r="V90" s="9">
        <v>0.56</v>
      </c>
      <c r="W90" s="9">
        <v>0.43</v>
      </c>
      <c r="X90" s="9">
        <v>0.52</v>
      </c>
      <c r="Y90" s="9">
        <v>0.65</v>
      </c>
      <c r="Z90" s="9">
        <v>0.54</v>
      </c>
      <c r="AA90" s="9">
        <v>0.67</v>
      </c>
      <c r="AB90" s="9">
        <v>0.67</v>
      </c>
      <c r="AC90" s="10">
        <v>0.438552296039945</v>
      </c>
      <c r="AD90" s="9">
        <v>0.41</v>
      </c>
      <c r="AE90" s="9">
        <v>0.49</v>
      </c>
      <c r="AF90" s="9">
        <v>0.27</v>
      </c>
      <c r="AG90" s="9">
        <v>0.57</v>
      </c>
      <c r="AH90" s="10">
        <v>0.3548494734789734</v>
      </c>
      <c r="AI90" s="9">
        <v>0.36</v>
      </c>
      <c r="AJ90" s="9">
        <v>0.25</v>
      </c>
      <c r="AK90" s="9">
        <v>0.52</v>
      </c>
      <c r="AL90" s="9">
        <v>0.28</v>
      </c>
      <c r="AM90" s="9">
        <v>0.37</v>
      </c>
      <c r="AN90" s="10">
        <v>0.518525397450156</v>
      </c>
      <c r="AO90" s="9">
        <v>0.58</v>
      </c>
      <c r="AP90" s="9">
        <v>0.78</v>
      </c>
      <c r="AQ90" s="9">
        <v>0.35</v>
      </c>
      <c r="AR90" s="9">
        <v>0.29</v>
      </c>
      <c r="AS90" s="9">
        <v>0.51</v>
      </c>
      <c r="AT90" s="9">
        <v>0.46</v>
      </c>
      <c r="AU90" s="9">
        <v>0.66</v>
      </c>
      <c r="AV90" s="10">
        <v>0.39324416274660573</v>
      </c>
      <c r="AW90" s="9">
        <v>0.48</v>
      </c>
      <c r="AX90" s="9">
        <v>0.44</v>
      </c>
      <c r="AY90" s="9">
        <v>0.38</v>
      </c>
      <c r="AZ90" s="9">
        <v>0.51</v>
      </c>
      <c r="BA90" s="9">
        <v>0.26</v>
      </c>
      <c r="BB90" s="9">
        <v>0.26</v>
      </c>
      <c r="BC90" s="9">
        <v>0.43</v>
      </c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ht="15">
      <c r="A91" s="1" t="s">
        <v>44</v>
      </c>
      <c r="B91" s="1" t="s">
        <v>63</v>
      </c>
      <c r="C91" s="1" t="s">
        <v>71</v>
      </c>
      <c r="D91" s="10">
        <v>0.7851608444345767</v>
      </c>
      <c r="E91" s="9">
        <v>0.8</v>
      </c>
      <c r="F91" s="9">
        <v>0.76</v>
      </c>
      <c r="G91" s="9">
        <v>0.79</v>
      </c>
      <c r="H91" s="9">
        <v>0.74</v>
      </c>
      <c r="I91" s="9">
        <v>0.77</v>
      </c>
      <c r="J91" s="9">
        <v>0.85</v>
      </c>
      <c r="K91" s="10">
        <v>0.7983590599288041</v>
      </c>
      <c r="L91" s="9">
        <v>0.82</v>
      </c>
      <c r="M91" s="9">
        <v>0.87</v>
      </c>
      <c r="N91" s="9">
        <v>0.85</v>
      </c>
      <c r="O91" s="9">
        <v>0.66</v>
      </c>
      <c r="P91" s="10">
        <v>0.8433040076955658</v>
      </c>
      <c r="Q91" s="9">
        <v>0.88</v>
      </c>
      <c r="R91" s="9">
        <v>1</v>
      </c>
      <c r="S91" s="9">
        <v>0.65</v>
      </c>
      <c r="T91" s="10">
        <v>0.7828087059349385</v>
      </c>
      <c r="U91" s="9">
        <v>0.69</v>
      </c>
      <c r="V91" s="9">
        <v>0.86</v>
      </c>
      <c r="W91" s="9">
        <v>0.82</v>
      </c>
      <c r="X91" s="9">
        <v>0.77</v>
      </c>
      <c r="Y91" s="9">
        <v>0.83</v>
      </c>
      <c r="Z91" s="9">
        <v>0.81</v>
      </c>
      <c r="AA91" s="9">
        <v>0.79</v>
      </c>
      <c r="AB91" s="9">
        <v>0.69</v>
      </c>
      <c r="AC91" s="10">
        <v>0.7824828552590514</v>
      </c>
      <c r="AD91" s="9">
        <v>0.75</v>
      </c>
      <c r="AE91" s="9">
        <v>0.78</v>
      </c>
      <c r="AF91" s="9">
        <v>0.78</v>
      </c>
      <c r="AG91" s="9">
        <v>0.83</v>
      </c>
      <c r="AH91" s="10">
        <v>0.789681532366824</v>
      </c>
      <c r="AI91" s="9">
        <v>0.74</v>
      </c>
      <c r="AJ91" s="9">
        <v>0.84</v>
      </c>
      <c r="AK91" s="9">
        <v>0.74</v>
      </c>
      <c r="AL91" s="9">
        <v>0.84</v>
      </c>
      <c r="AM91" s="9">
        <v>0.78</v>
      </c>
      <c r="AN91" s="10">
        <v>0.7235465739802606</v>
      </c>
      <c r="AO91" s="9">
        <v>0.66</v>
      </c>
      <c r="AP91" s="9">
        <v>0.73</v>
      </c>
      <c r="AQ91" s="9">
        <v>0.84</v>
      </c>
      <c r="AR91" s="9">
        <v>0.78</v>
      </c>
      <c r="AS91" s="9">
        <v>0.58</v>
      </c>
      <c r="AT91" s="9">
        <v>0.64</v>
      </c>
      <c r="AU91" s="9">
        <v>0.82</v>
      </c>
      <c r="AV91" s="10">
        <v>0.7546776171106814</v>
      </c>
      <c r="AW91" s="9">
        <v>0.78</v>
      </c>
      <c r="AX91" s="9">
        <v>0.79</v>
      </c>
      <c r="AY91" s="9">
        <v>0.6</v>
      </c>
      <c r="AZ91" s="9">
        <v>0.67</v>
      </c>
      <c r="BA91" s="9">
        <v>0.8</v>
      </c>
      <c r="BB91" s="9">
        <v>0.82</v>
      </c>
      <c r="BC91" s="9">
        <v>0.82</v>
      </c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ht="15">
      <c r="A92" s="1" t="s">
        <v>45</v>
      </c>
      <c r="B92" s="1" t="s">
        <v>63</v>
      </c>
      <c r="C92" s="1" t="s">
        <v>71</v>
      </c>
      <c r="D92" s="10">
        <v>0.7685695671443429</v>
      </c>
      <c r="E92" s="9">
        <v>0.88</v>
      </c>
      <c r="F92" s="9">
        <v>0.76</v>
      </c>
      <c r="G92" s="9">
        <v>0.75</v>
      </c>
      <c r="H92" s="9">
        <v>0.66</v>
      </c>
      <c r="I92" s="9">
        <v>0.8</v>
      </c>
      <c r="J92" s="9">
        <v>0.77</v>
      </c>
      <c r="K92" s="10">
        <v>0.7760388998971517</v>
      </c>
      <c r="L92" s="9">
        <v>0.77</v>
      </c>
      <c r="M92" s="9">
        <v>0.88</v>
      </c>
      <c r="N92" s="9">
        <v>0.83</v>
      </c>
      <c r="O92" s="9">
        <v>0.62</v>
      </c>
      <c r="P92" s="10">
        <v>0.8256044468223952</v>
      </c>
      <c r="Q92" s="9">
        <v>0.86</v>
      </c>
      <c r="R92" s="9">
        <v>1</v>
      </c>
      <c r="S92" s="9">
        <v>0.62</v>
      </c>
      <c r="T92" s="10">
        <v>0.7256444526160573</v>
      </c>
      <c r="U92" s="9">
        <v>0.52</v>
      </c>
      <c r="V92" s="9">
        <v>0.76</v>
      </c>
      <c r="W92" s="9">
        <v>0.62</v>
      </c>
      <c r="X92" s="9">
        <v>0.8</v>
      </c>
      <c r="Y92" s="9">
        <v>0.82</v>
      </c>
      <c r="Z92" s="9">
        <v>0.8</v>
      </c>
      <c r="AA92" s="9">
        <v>0.85</v>
      </c>
      <c r="AB92" s="9">
        <v>0.63</v>
      </c>
      <c r="AC92" s="10">
        <v>0.7659253406407276</v>
      </c>
      <c r="AD92" s="9">
        <v>0.77</v>
      </c>
      <c r="AE92" s="9">
        <v>0.79</v>
      </c>
      <c r="AF92" s="9">
        <v>0.78</v>
      </c>
      <c r="AG92" s="9">
        <v>0.73</v>
      </c>
      <c r="AH92" s="10">
        <v>0.7033259375808072</v>
      </c>
      <c r="AI92" s="9">
        <v>0.65</v>
      </c>
      <c r="AJ92" s="9">
        <v>0.85</v>
      </c>
      <c r="AK92" s="9">
        <v>0.63</v>
      </c>
      <c r="AL92" s="9">
        <v>0.75</v>
      </c>
      <c r="AM92" s="9">
        <v>0.64</v>
      </c>
      <c r="AN92" s="10">
        <v>0.6532126703726623</v>
      </c>
      <c r="AO92" s="9">
        <v>0.53</v>
      </c>
      <c r="AP92" s="9">
        <v>0.53</v>
      </c>
      <c r="AQ92" s="9">
        <v>0.86</v>
      </c>
      <c r="AR92" s="9">
        <v>0.75</v>
      </c>
      <c r="AS92" s="9">
        <v>0.44</v>
      </c>
      <c r="AT92" s="9">
        <v>0.63</v>
      </c>
      <c r="AU92" s="9">
        <v>0.83</v>
      </c>
      <c r="AV92" s="10">
        <v>0.6538777707670501</v>
      </c>
      <c r="AW92" s="9">
        <v>0.78</v>
      </c>
      <c r="AX92" s="9">
        <v>0.76</v>
      </c>
      <c r="AY92" s="9">
        <v>0.46</v>
      </c>
      <c r="AZ92" s="9">
        <v>0.38</v>
      </c>
      <c r="BA92" s="9">
        <v>0.77</v>
      </c>
      <c r="BB92" s="9">
        <v>0.8</v>
      </c>
      <c r="BC92" s="9">
        <v>0.62</v>
      </c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ht="15">
      <c r="A93" s="1" t="s">
        <v>114</v>
      </c>
      <c r="B93" s="1" t="s">
        <v>61</v>
      </c>
      <c r="C93" s="1" t="s">
        <v>69</v>
      </c>
      <c r="D93" s="10">
        <v>0.7038678255894597</v>
      </c>
      <c r="E93" s="9">
        <v>0.72</v>
      </c>
      <c r="F93" s="9">
        <v>0.68</v>
      </c>
      <c r="G93" s="9">
        <v>0.54</v>
      </c>
      <c r="H93" s="9">
        <v>0.64</v>
      </c>
      <c r="I93" s="9">
        <v>0.74</v>
      </c>
      <c r="J93" s="9">
        <v>0.91</v>
      </c>
      <c r="K93" s="10">
        <v>0.7765330868352818</v>
      </c>
      <c r="L93" s="9">
        <v>0.82</v>
      </c>
      <c r="M93" s="9">
        <v>0.81</v>
      </c>
      <c r="N93" s="9">
        <v>0.77</v>
      </c>
      <c r="O93" s="9">
        <v>0.71</v>
      </c>
      <c r="P93" s="10">
        <v>0.6950194160840694</v>
      </c>
      <c r="Q93" s="9">
        <v>0.72</v>
      </c>
      <c r="R93" s="9">
        <v>1</v>
      </c>
      <c r="S93" s="9">
        <v>0.37</v>
      </c>
      <c r="T93" s="10">
        <v>0.7461951593408728</v>
      </c>
      <c r="U93" s="9">
        <v>0.69</v>
      </c>
      <c r="V93" s="9">
        <v>0.81</v>
      </c>
      <c r="W93" s="9">
        <v>0.53</v>
      </c>
      <c r="X93" s="9">
        <v>0.74</v>
      </c>
      <c r="Y93" s="9">
        <v>0.87</v>
      </c>
      <c r="Z93" s="9">
        <v>0.77</v>
      </c>
      <c r="AA93" s="9">
        <v>0.82</v>
      </c>
      <c r="AB93" s="9">
        <v>0.75</v>
      </c>
      <c r="AC93" s="10">
        <v>0.6193822717396666</v>
      </c>
      <c r="AD93" s="9">
        <v>0.59</v>
      </c>
      <c r="AE93" s="9">
        <v>0.64</v>
      </c>
      <c r="AF93" s="9">
        <v>0.65</v>
      </c>
      <c r="AG93" s="9">
        <v>0.6</v>
      </c>
      <c r="AH93" s="10">
        <v>0.71109766619284</v>
      </c>
      <c r="AI93" s="9">
        <v>0.69</v>
      </c>
      <c r="AJ93" s="9">
        <v>0.82</v>
      </c>
      <c r="AK93" s="9">
        <v>0.55</v>
      </c>
      <c r="AL93" s="9">
        <v>0.64</v>
      </c>
      <c r="AM93" s="9">
        <v>0.85</v>
      </c>
      <c r="AN93" s="10">
        <v>0.7140848527465229</v>
      </c>
      <c r="AO93" s="9">
        <v>0.79</v>
      </c>
      <c r="AP93" s="9">
        <v>0.78</v>
      </c>
      <c r="AQ93" s="9">
        <v>0.78</v>
      </c>
      <c r="AR93" s="9">
        <v>0.72</v>
      </c>
      <c r="AS93" s="9">
        <v>0.49</v>
      </c>
      <c r="AT93" s="9">
        <v>0.72</v>
      </c>
      <c r="AU93" s="9">
        <v>0.72</v>
      </c>
      <c r="AV93" s="10">
        <v>0.5035222439901561</v>
      </c>
      <c r="AW93" s="9">
        <v>0.49</v>
      </c>
      <c r="AX93" s="9">
        <v>0.4</v>
      </c>
      <c r="AY93" s="9">
        <v>0.23</v>
      </c>
      <c r="AZ93" s="9">
        <v>0.45</v>
      </c>
      <c r="BA93" s="9">
        <v>0.73</v>
      </c>
      <c r="BB93" s="9">
        <v>0.69</v>
      </c>
      <c r="BC93" s="9">
        <v>0.53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ht="15">
      <c r="A94" s="1" t="s">
        <v>115</v>
      </c>
      <c r="B94" s="1" t="s">
        <v>60</v>
      </c>
      <c r="C94" s="1" t="s">
        <v>68</v>
      </c>
      <c r="D94" s="10">
        <v>0.23712807010027556</v>
      </c>
      <c r="E94" s="9">
        <v>0.05</v>
      </c>
      <c r="F94" s="9">
        <v>0.19</v>
      </c>
      <c r="G94" s="9">
        <v>0.32</v>
      </c>
      <c r="H94" s="9">
        <v>0.36</v>
      </c>
      <c r="I94" s="9">
        <v>0.13</v>
      </c>
      <c r="J94" s="9">
        <v>0.37</v>
      </c>
      <c r="K94" s="10">
        <v>0.3001607896558689</v>
      </c>
      <c r="L94" s="9">
        <v>0.29</v>
      </c>
      <c r="M94" s="9">
        <v>0.29</v>
      </c>
      <c r="N94" s="9">
        <v>0.33</v>
      </c>
      <c r="O94" s="9">
        <v>0.3</v>
      </c>
      <c r="P94" s="10">
        <v>0.8869764287361069</v>
      </c>
      <c r="Q94" s="9">
        <v>0.94</v>
      </c>
      <c r="R94" s="9">
        <v>1</v>
      </c>
      <c r="S94" s="9">
        <v>0.72</v>
      </c>
      <c r="T94" s="10">
        <v>0.3358461860616058</v>
      </c>
      <c r="U94" s="9">
        <v>0.64</v>
      </c>
      <c r="V94" s="9">
        <v>0.3</v>
      </c>
      <c r="W94" s="9">
        <v>0.25</v>
      </c>
      <c r="X94" s="9">
        <v>0.13</v>
      </c>
      <c r="Y94" s="9">
        <v>0.55</v>
      </c>
      <c r="Z94" s="9">
        <v>0.17</v>
      </c>
      <c r="AA94" s="9">
        <v>0.24</v>
      </c>
      <c r="AB94" s="9">
        <v>0.42</v>
      </c>
      <c r="AC94" s="10">
        <v>0.3566818675715671</v>
      </c>
      <c r="AD94" s="9">
        <v>0.37</v>
      </c>
      <c r="AE94" s="9">
        <v>0.46</v>
      </c>
      <c r="AF94" s="9">
        <v>0.33</v>
      </c>
      <c r="AG94" s="9">
        <v>0.26</v>
      </c>
      <c r="AH94" s="10">
        <v>0.45769044537871695</v>
      </c>
      <c r="AI94" s="9">
        <v>0.67</v>
      </c>
      <c r="AJ94" s="9">
        <v>0.5</v>
      </c>
      <c r="AK94" s="9">
        <v>0.49</v>
      </c>
      <c r="AL94" s="9">
        <v>0.37</v>
      </c>
      <c r="AM94" s="9">
        <v>0.26</v>
      </c>
      <c r="AN94" s="10">
        <v>0.4904740592011869</v>
      </c>
      <c r="AO94" s="9">
        <v>0.59</v>
      </c>
      <c r="AP94" s="9">
        <v>0.58</v>
      </c>
      <c r="AQ94" s="9">
        <v>0.28</v>
      </c>
      <c r="AR94" s="9">
        <v>0.21</v>
      </c>
      <c r="AS94" s="9">
        <v>0.61</v>
      </c>
      <c r="AT94" s="9">
        <v>0.51</v>
      </c>
      <c r="AU94" s="9">
        <v>0.66</v>
      </c>
      <c r="AV94" s="10">
        <v>0.35802747887049335</v>
      </c>
      <c r="AW94" s="9">
        <v>0.58</v>
      </c>
      <c r="AX94" s="9">
        <v>0.51</v>
      </c>
      <c r="AY94" s="9">
        <v>0.35</v>
      </c>
      <c r="AZ94" s="9">
        <v>0.37</v>
      </c>
      <c r="BA94" s="9">
        <v>0.29</v>
      </c>
      <c r="BB94" s="9">
        <v>0.15</v>
      </c>
      <c r="BC94" s="9">
        <v>0.25</v>
      </c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ht="15">
      <c r="A95" s="1" t="s">
        <v>46</v>
      </c>
      <c r="B95" s="1" t="s">
        <v>61</v>
      </c>
      <c r="C95" s="1" t="s">
        <v>69</v>
      </c>
      <c r="D95" s="10">
        <v>0.25126919886100657</v>
      </c>
      <c r="E95" s="9">
        <v>0.29</v>
      </c>
      <c r="F95" s="9">
        <v>0.23</v>
      </c>
      <c r="G95" s="9">
        <v>0.14</v>
      </c>
      <c r="H95" s="9">
        <v>0.14</v>
      </c>
      <c r="I95" s="9">
        <v>0.4</v>
      </c>
      <c r="J95" s="9">
        <v>0.3</v>
      </c>
      <c r="K95" s="10">
        <v>0.32318642085720856</v>
      </c>
      <c r="L95" s="9">
        <v>0.39</v>
      </c>
      <c r="M95" s="9">
        <v>0.24</v>
      </c>
      <c r="N95" s="9">
        <v>0.37</v>
      </c>
      <c r="O95" s="9">
        <v>0.29</v>
      </c>
      <c r="P95" s="10">
        <v>0.5098185775976823</v>
      </c>
      <c r="Q95" s="9">
        <v>0.31</v>
      </c>
      <c r="R95" s="9">
        <v>1</v>
      </c>
      <c r="S95" s="9">
        <v>0.22</v>
      </c>
      <c r="T95" s="10">
        <v>0.4831042006256565</v>
      </c>
      <c r="U95" s="9">
        <v>0.5</v>
      </c>
      <c r="V95" s="9">
        <v>0.32</v>
      </c>
      <c r="W95" s="9">
        <v>0.25</v>
      </c>
      <c r="X95" s="9">
        <v>0.4</v>
      </c>
      <c r="Y95" s="9">
        <v>0.81</v>
      </c>
      <c r="Z95" s="9">
        <v>0.33</v>
      </c>
      <c r="AA95" s="9">
        <v>0.6</v>
      </c>
      <c r="AB95" s="9">
        <v>0.65</v>
      </c>
      <c r="AC95" s="10">
        <v>0.359904166337436</v>
      </c>
      <c r="AD95" s="9">
        <v>0.53</v>
      </c>
      <c r="AE95" s="9">
        <v>0.31</v>
      </c>
      <c r="AF95" s="9">
        <v>0.38</v>
      </c>
      <c r="AG95" s="9">
        <v>0.22</v>
      </c>
      <c r="AH95" s="10">
        <v>0.32636116200697496</v>
      </c>
      <c r="AI95" s="9">
        <v>0.45</v>
      </c>
      <c r="AJ95" s="9">
        <v>0.45</v>
      </c>
      <c r="AK95" s="9">
        <v>0.27</v>
      </c>
      <c r="AL95" s="9">
        <v>0.18</v>
      </c>
      <c r="AM95" s="9">
        <v>0.28</v>
      </c>
      <c r="AN95" s="10">
        <v>0.3781687784612098</v>
      </c>
      <c r="AO95" s="9">
        <v>0.55</v>
      </c>
      <c r="AP95" s="9">
        <v>0.61</v>
      </c>
      <c r="AQ95" s="9">
        <v>0.31</v>
      </c>
      <c r="AR95" s="9">
        <v>0.27</v>
      </c>
      <c r="AS95" s="9">
        <v>0.14</v>
      </c>
      <c r="AT95" s="9">
        <v>0.2</v>
      </c>
      <c r="AU95" s="9">
        <v>0.57</v>
      </c>
      <c r="AV95" s="10">
        <v>0.236923896179383</v>
      </c>
      <c r="AW95" s="9">
        <v>0.36</v>
      </c>
      <c r="AX95" s="9">
        <v>0.2</v>
      </c>
      <c r="AY95" s="9">
        <v>0.05</v>
      </c>
      <c r="AZ95" s="9">
        <v>0.27</v>
      </c>
      <c r="BA95" s="9">
        <v>0.3</v>
      </c>
      <c r="BB95" s="9">
        <v>0.23</v>
      </c>
      <c r="BC95" s="9">
        <v>0.25</v>
      </c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ht="15">
      <c r="A96" s="1" t="s">
        <v>47</v>
      </c>
      <c r="B96" s="1" t="s">
        <v>62</v>
      </c>
      <c r="C96" s="1" t="s">
        <v>68</v>
      </c>
      <c r="D96" s="10">
        <v>0.4039741491778947</v>
      </c>
      <c r="E96" s="9">
        <v>0.33</v>
      </c>
      <c r="F96" s="9">
        <v>0.28</v>
      </c>
      <c r="G96" s="9">
        <v>0.47</v>
      </c>
      <c r="H96" s="9">
        <v>0.58</v>
      </c>
      <c r="I96" s="9">
        <v>0.27</v>
      </c>
      <c r="J96" s="9">
        <v>0.5</v>
      </c>
      <c r="K96" s="10">
        <v>0.4298522648919531</v>
      </c>
      <c r="L96" s="9">
        <v>0.4</v>
      </c>
      <c r="M96" s="9">
        <v>0.28</v>
      </c>
      <c r="N96" s="9">
        <v>0.47</v>
      </c>
      <c r="O96" s="9">
        <v>0.57</v>
      </c>
      <c r="P96" s="10">
        <v>0.8220964835421936</v>
      </c>
      <c r="Q96" s="9">
        <v>0.9</v>
      </c>
      <c r="R96" s="9">
        <v>0.92</v>
      </c>
      <c r="S96" s="9">
        <v>0.65</v>
      </c>
      <c r="T96" s="10">
        <v>0.4814114970039223</v>
      </c>
      <c r="U96" s="9">
        <v>0.6</v>
      </c>
      <c r="V96" s="9">
        <v>0.74</v>
      </c>
      <c r="W96" s="9">
        <v>0.59</v>
      </c>
      <c r="X96" s="9">
        <v>0.27</v>
      </c>
      <c r="Y96" s="9">
        <v>0.29</v>
      </c>
      <c r="Z96" s="9">
        <v>0.67</v>
      </c>
      <c r="AA96" s="9">
        <v>0.18</v>
      </c>
      <c r="AB96" s="9">
        <v>0.51</v>
      </c>
      <c r="AC96" s="10">
        <v>0.34840166460887034</v>
      </c>
      <c r="AD96" s="9">
        <v>0.43</v>
      </c>
      <c r="AE96" s="9">
        <v>0.47</v>
      </c>
      <c r="AF96" s="9">
        <v>0.33</v>
      </c>
      <c r="AG96" s="9">
        <v>0.16</v>
      </c>
      <c r="AH96" s="10">
        <v>0.3909008029313778</v>
      </c>
      <c r="AI96" s="9">
        <v>0.49</v>
      </c>
      <c r="AJ96" s="9">
        <v>0.34</v>
      </c>
      <c r="AK96" s="9">
        <v>0.44</v>
      </c>
      <c r="AL96" s="9">
        <v>0.35</v>
      </c>
      <c r="AM96" s="9">
        <v>0.34</v>
      </c>
      <c r="AN96" s="10">
        <v>0.43491010938215197</v>
      </c>
      <c r="AO96" s="9">
        <v>0.48</v>
      </c>
      <c r="AP96" s="9">
        <v>0.57</v>
      </c>
      <c r="AQ96" s="9">
        <v>0.24</v>
      </c>
      <c r="AR96" s="9">
        <v>0.23</v>
      </c>
      <c r="AS96" s="9">
        <v>0.49</v>
      </c>
      <c r="AT96" s="9">
        <v>0.39</v>
      </c>
      <c r="AU96" s="9">
        <v>0.64</v>
      </c>
      <c r="AV96" s="10">
        <v>0.5694846751665794</v>
      </c>
      <c r="AW96" s="9">
        <v>0.6</v>
      </c>
      <c r="AX96" s="9">
        <v>0.65</v>
      </c>
      <c r="AY96" s="9">
        <v>0.57</v>
      </c>
      <c r="AZ96" s="9">
        <v>0.7</v>
      </c>
      <c r="BA96" s="9">
        <v>0.52</v>
      </c>
      <c r="BB96" s="9">
        <v>0.36</v>
      </c>
      <c r="BC96" s="9">
        <v>0.59</v>
      </c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ht="15">
      <c r="A97" s="1" t="s">
        <v>116</v>
      </c>
      <c r="B97" s="1" t="s">
        <v>65</v>
      </c>
      <c r="C97" s="1" t="s">
        <v>68</v>
      </c>
      <c r="D97" s="10">
        <v>0.5080925741731547</v>
      </c>
      <c r="E97" s="9">
        <v>0.53</v>
      </c>
      <c r="F97" s="9">
        <v>0.35</v>
      </c>
      <c r="G97" s="9">
        <v>0.62</v>
      </c>
      <c r="H97" s="9">
        <v>0.52</v>
      </c>
      <c r="I97" s="9">
        <v>0.37</v>
      </c>
      <c r="J97" s="9">
        <v>0.64</v>
      </c>
      <c r="K97" s="10">
        <v>0.43913105385104234</v>
      </c>
      <c r="L97" s="9">
        <v>0.41</v>
      </c>
      <c r="M97" s="9">
        <v>0.49</v>
      </c>
      <c r="N97" s="9">
        <v>0.38</v>
      </c>
      <c r="O97" s="9">
        <v>0.48</v>
      </c>
      <c r="P97" s="10">
        <v>0.6725835812085738</v>
      </c>
      <c r="Q97" s="9">
        <v>0.63</v>
      </c>
      <c r="R97" s="9">
        <v>1</v>
      </c>
      <c r="S97" s="9">
        <v>0.39</v>
      </c>
      <c r="T97" s="10">
        <v>0.407644618261733</v>
      </c>
      <c r="U97" s="9">
        <v>0.45</v>
      </c>
      <c r="V97" s="9">
        <v>0.51</v>
      </c>
      <c r="W97" s="9">
        <v>0.35</v>
      </c>
      <c r="X97" s="9">
        <v>0.37</v>
      </c>
      <c r="Y97" s="9">
        <v>0.35</v>
      </c>
      <c r="Z97" s="9">
        <v>0.58</v>
      </c>
      <c r="AA97" s="9">
        <v>0.34</v>
      </c>
      <c r="AB97" s="9">
        <v>0.31</v>
      </c>
      <c r="AC97" s="10">
        <v>0.38831081853051347</v>
      </c>
      <c r="AD97" s="9">
        <v>0.45</v>
      </c>
      <c r="AE97" s="9">
        <v>0.46</v>
      </c>
      <c r="AF97" s="9">
        <v>0.44</v>
      </c>
      <c r="AG97" s="9">
        <v>0.2</v>
      </c>
      <c r="AH97" s="10">
        <v>0.40566704214771415</v>
      </c>
      <c r="AI97" s="9">
        <v>0.43</v>
      </c>
      <c r="AJ97" s="9">
        <v>0.44</v>
      </c>
      <c r="AK97" s="9">
        <v>0.13</v>
      </c>
      <c r="AL97" s="9">
        <v>0.62</v>
      </c>
      <c r="AM97" s="9">
        <v>0.42</v>
      </c>
      <c r="AN97" s="10">
        <v>0.45780030427571916</v>
      </c>
      <c r="AO97" s="9">
        <v>0.36</v>
      </c>
      <c r="AP97" s="9">
        <v>0.51</v>
      </c>
      <c r="AQ97" s="9">
        <v>0.42</v>
      </c>
      <c r="AR97" s="9">
        <v>0.34</v>
      </c>
      <c r="AS97" s="9">
        <v>0.34</v>
      </c>
      <c r="AT97" s="9">
        <v>0.47</v>
      </c>
      <c r="AU97" s="9">
        <v>0.77</v>
      </c>
      <c r="AV97" s="10">
        <v>0.36886519973087184</v>
      </c>
      <c r="AW97" s="9">
        <v>0.51</v>
      </c>
      <c r="AX97" s="9">
        <v>0.41</v>
      </c>
      <c r="AY97" s="9">
        <v>0.15</v>
      </c>
      <c r="AZ97" s="9">
        <v>0.42</v>
      </c>
      <c r="BA97" s="9">
        <v>0.39</v>
      </c>
      <c r="BB97" s="9">
        <v>0.34</v>
      </c>
      <c r="BC97" s="9">
        <v>0.35</v>
      </c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5" ht="15">
      <c r="A98" s="1" t="s">
        <v>117</v>
      </c>
      <c r="B98" s="1" t="s">
        <v>65</v>
      </c>
      <c r="C98" s="1" t="s">
        <v>73</v>
      </c>
      <c r="D98" s="10">
        <v>0.2502011693899971</v>
      </c>
      <c r="E98" s="9">
        <v>0.36</v>
      </c>
      <c r="F98" s="9">
        <v>0.29</v>
      </c>
      <c r="G98" s="9">
        <v>0.22</v>
      </c>
      <c r="H98" s="9">
        <v>0.36</v>
      </c>
      <c r="I98" s="9">
        <v>0.13</v>
      </c>
      <c r="J98" s="9">
        <v>0.14</v>
      </c>
      <c r="K98" s="10">
        <v>0.263538732459098</v>
      </c>
      <c r="L98" s="9">
        <v>0.28</v>
      </c>
      <c r="M98" s="9">
        <v>0.4</v>
      </c>
      <c r="N98" s="9">
        <v>0.24</v>
      </c>
      <c r="O98" s="9">
        <v>0.13</v>
      </c>
      <c r="P98" s="10">
        <v>0.589876338217232</v>
      </c>
      <c r="Q98" s="9">
        <v>0.63</v>
      </c>
      <c r="R98" s="9">
        <v>0.75</v>
      </c>
      <c r="S98" s="9">
        <v>0.38</v>
      </c>
      <c r="T98" s="10">
        <v>0.3118367399178613</v>
      </c>
      <c r="U98" s="9">
        <v>0.36</v>
      </c>
      <c r="V98" s="9">
        <v>0.32</v>
      </c>
      <c r="W98" s="9">
        <v>0.3</v>
      </c>
      <c r="X98" s="9">
        <v>0.14</v>
      </c>
      <c r="Y98" s="9">
        <v>0.61</v>
      </c>
      <c r="Z98" s="9">
        <v>0.19</v>
      </c>
      <c r="AA98" s="9">
        <v>0.18</v>
      </c>
      <c r="AB98" s="9">
        <v>0.4</v>
      </c>
      <c r="AC98" s="10">
        <v>0.24213733452482408</v>
      </c>
      <c r="AD98" s="9">
        <v>0.24</v>
      </c>
      <c r="AE98" s="9">
        <v>0.28</v>
      </c>
      <c r="AF98" s="9">
        <v>0.21</v>
      </c>
      <c r="AG98" s="9">
        <v>0.24</v>
      </c>
      <c r="AH98" s="10">
        <v>0.3489391788275086</v>
      </c>
      <c r="AI98" s="9">
        <v>0.42</v>
      </c>
      <c r="AJ98" s="9">
        <v>0.34</v>
      </c>
      <c r="AK98" s="9">
        <v>0.34</v>
      </c>
      <c r="AL98" s="9">
        <v>0.48</v>
      </c>
      <c r="AM98" s="9">
        <v>0.17</v>
      </c>
      <c r="AN98" s="10">
        <v>0.399158153059493</v>
      </c>
      <c r="AO98" s="9">
        <v>0.4</v>
      </c>
      <c r="AP98" s="9">
        <v>0.23</v>
      </c>
      <c r="AQ98" s="9">
        <v>0.42</v>
      </c>
      <c r="AR98" s="9">
        <v>0.38</v>
      </c>
      <c r="AS98" s="9">
        <v>0.34</v>
      </c>
      <c r="AT98" s="9">
        <v>0.48</v>
      </c>
      <c r="AU98" s="9">
        <v>0.54</v>
      </c>
      <c r="AV98" s="10">
        <v>0.43276598026981883</v>
      </c>
      <c r="AW98" s="9">
        <v>0.58</v>
      </c>
      <c r="AX98" s="9">
        <v>0.49</v>
      </c>
      <c r="AY98" s="9">
        <v>0.36</v>
      </c>
      <c r="AZ98" s="9">
        <v>0.57</v>
      </c>
      <c r="BA98" s="9">
        <v>0.29</v>
      </c>
      <c r="BB98" s="9">
        <v>0.44</v>
      </c>
      <c r="BC98" s="9">
        <v>0.3</v>
      </c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GR56" sqref="GR56"/>
    </sheetView>
  </sheetViews>
  <sheetFormatPr defaultColWidth="9.140625" defaultRowHeight="15"/>
  <sheetData>
    <row r="1" spans="1:256" ht="15">
      <c r="A1">
        <f>IF(Introduction!1:1,"AAAAAF9bfwA=",0)</f>
        <v>0</v>
      </c>
      <c r="B1" t="e">
        <f>AND(Introduction!H1,"AAAAAF9bfwE=")</f>
        <v>#VALUE!</v>
      </c>
      <c r="C1">
        <f>IF(Introduction!2:2,"AAAAAF9bfwI=",0)</f>
        <v>0</v>
      </c>
      <c r="D1" t="e">
        <f>AND(Introduction!H2,"AAAAAF9bfwM=")</f>
        <v>#VALUE!</v>
      </c>
      <c r="E1">
        <f>IF(Introduction!3:3,"AAAAAF9bfwQ=",0)</f>
        <v>0</v>
      </c>
      <c r="F1" t="e">
        <f>AND(Introduction!H3,"AAAAAF9bfwU=")</f>
        <v>#VALUE!</v>
      </c>
      <c r="G1">
        <f>IF(Introduction!A:A,"AAAAAF9bfwY=",0)</f>
        <v>0</v>
      </c>
      <c r="H1">
        <f>IF(Introduction!B:B,"AAAAAF9bfwc=",0)</f>
        <v>0</v>
      </c>
      <c r="I1">
        <f>IF(Introduction!C:C,"AAAAAF9bfwg=",0)</f>
        <v>0</v>
      </c>
      <c r="J1">
        <f>IF(Introduction!D:D,"AAAAAF9bfwk=",0)</f>
        <v>0</v>
      </c>
      <c r="K1">
        <f>IF(Introduction!E:E,"AAAAAF9bfwo=",0)</f>
        <v>0</v>
      </c>
      <c r="L1">
        <f>IF(Introduction!F:F,"AAAAAF9bfws=",0)</f>
        <v>0</v>
      </c>
      <c r="M1">
        <f>IF(Introduction!G:G,"AAAAAF9bfww=",0)</f>
        <v>0</v>
      </c>
      <c r="N1" t="e">
        <f>IF(Introduction!H:H,"AAAAAF9bfw0=",0)</f>
        <v>#VALUE!</v>
      </c>
      <c r="O1" t="e">
        <f>IF('WJP Rule of Law Index 2012-2013'!1:1,"AAAAAF9bfw4=",0)</f>
        <v>#VALUE!</v>
      </c>
      <c r="P1" t="e">
        <f>AND('WJP Rule of Law Index 2012-2013'!A1,"AAAAAF9bfw8=")</f>
        <v>#VALUE!</v>
      </c>
      <c r="Q1" t="e">
        <f>AND('WJP Rule of Law Index 2012-2013'!B1,"AAAAAF9bfxA=")</f>
        <v>#VALUE!</v>
      </c>
      <c r="R1" t="e">
        <f>AND('WJP Rule of Law Index 2012-2013'!#REF!,"AAAAAF9bfxE=")</f>
        <v>#REF!</v>
      </c>
      <c r="S1" t="e">
        <f>AND('WJP Rule of Law Index 2012-2013'!C1,"AAAAAF9bfxI=")</f>
        <v>#VALUE!</v>
      </c>
      <c r="T1" t="e">
        <f>AND('WJP Rule of Law Index 2012-2013'!#REF!,"AAAAAF9bfxM=")</f>
        <v>#REF!</v>
      </c>
      <c r="U1" t="e">
        <f>AND('WJP Rule of Law Index 2012-2013'!D1,"AAAAAF9bfxQ=")</f>
        <v>#VALUE!</v>
      </c>
      <c r="V1" t="e">
        <f>AND('WJP Rule of Law Index 2012-2013'!E1,"AAAAAF9bfxU=")</f>
        <v>#VALUE!</v>
      </c>
      <c r="W1" t="e">
        <f>AND('WJP Rule of Law Index 2012-2013'!F1,"AAAAAF9bfxY=")</f>
        <v>#VALUE!</v>
      </c>
      <c r="X1" t="e">
        <f>AND('WJP Rule of Law Index 2012-2013'!G1,"AAAAAF9bfxc=")</f>
        <v>#VALUE!</v>
      </c>
      <c r="Y1" t="e">
        <f>AND('WJP Rule of Law Index 2012-2013'!H1,"AAAAAF9bfxg=")</f>
        <v>#VALUE!</v>
      </c>
      <c r="Z1" t="e">
        <f>AND('WJP Rule of Law Index 2012-2013'!I1,"AAAAAF9bfxk=")</f>
        <v>#VALUE!</v>
      </c>
      <c r="AA1" t="e">
        <f>AND('WJP Rule of Law Index 2012-2013'!J1,"AAAAAF9bfxo=")</f>
        <v>#VALUE!</v>
      </c>
      <c r="AB1" t="e">
        <f>AND('WJP Rule of Law Index 2012-2013'!K1,"AAAAAF9bfxs=")</f>
        <v>#VALUE!</v>
      </c>
      <c r="AC1" t="e">
        <f>AND('WJP Rule of Law Index 2012-2013'!L1,"AAAAAF9bfxw=")</f>
        <v>#VALUE!</v>
      </c>
      <c r="AD1" t="e">
        <f>AND('WJP Rule of Law Index 2012-2013'!M1,"AAAAAF9bfx0=")</f>
        <v>#VALUE!</v>
      </c>
      <c r="AE1" t="e">
        <f>AND('WJP Rule of Law Index 2012-2013'!N1,"AAAAAF9bfx4=")</f>
        <v>#VALUE!</v>
      </c>
      <c r="AF1" t="e">
        <f>AND('WJP Rule of Law Index 2012-2013'!P1,"AAAAAF9bfx8=")</f>
        <v>#VALUE!</v>
      </c>
      <c r="AG1" t="e">
        <f>AND('WJP Rule of Law Index 2012-2013'!Q1,"AAAAAF9bfyA=")</f>
        <v>#VALUE!</v>
      </c>
      <c r="AH1" t="e">
        <f>AND('WJP Rule of Law Index 2012-2013'!R1,"AAAAAF9bfyE=")</f>
        <v>#VALUE!</v>
      </c>
      <c r="AI1" t="e">
        <f>AND('WJP Rule of Law Index 2012-2013'!S1,"AAAAAF9bfyI=")</f>
        <v>#VALUE!</v>
      </c>
      <c r="AJ1" t="e">
        <f>AND('WJP Rule of Law Index 2012-2013'!T1,"AAAAAF9bfyM=")</f>
        <v>#VALUE!</v>
      </c>
      <c r="AK1" t="e">
        <f>AND('WJP Rule of Law Index 2012-2013'!U1,"AAAAAF9bfyQ=")</f>
        <v>#VALUE!</v>
      </c>
      <c r="AL1" t="e">
        <f>AND('WJP Rule of Law Index 2012-2013'!V1,"AAAAAF9bfyU=")</f>
        <v>#VALUE!</v>
      </c>
      <c r="AM1" t="e">
        <f>AND('WJP Rule of Law Index 2012-2013'!W1,"AAAAAF9bfyY=")</f>
        <v>#VALUE!</v>
      </c>
      <c r="AN1" t="e">
        <f>AND('WJP Rule of Law Index 2012-2013'!X1,"AAAAAF9bfyc=")</f>
        <v>#VALUE!</v>
      </c>
      <c r="AO1" t="e">
        <f>AND('WJP Rule of Law Index 2012-2013'!Y1,"AAAAAF9bfyg=")</f>
        <v>#VALUE!</v>
      </c>
      <c r="AP1" t="e">
        <f>AND('WJP Rule of Law Index 2012-2013'!Z1,"AAAAAF9bfyk=")</f>
        <v>#VALUE!</v>
      </c>
      <c r="AQ1" t="e">
        <f>AND('WJP Rule of Law Index 2012-2013'!AA1,"AAAAAF9bfyo=")</f>
        <v>#VALUE!</v>
      </c>
      <c r="AR1" t="e">
        <f>AND('WJP Rule of Law Index 2012-2013'!AB1,"AAAAAF9bfys=")</f>
        <v>#VALUE!</v>
      </c>
      <c r="AS1" t="e">
        <f>AND('WJP Rule of Law Index 2012-2013'!AC1,"AAAAAF9bfyw=")</f>
        <v>#VALUE!</v>
      </c>
      <c r="AT1" t="e">
        <f>AND('WJP Rule of Law Index 2012-2013'!AD1,"AAAAAF9bfy0=")</f>
        <v>#VALUE!</v>
      </c>
      <c r="AU1" t="e">
        <f>AND('WJP Rule of Law Index 2012-2013'!AE1,"AAAAAF9bfy4=")</f>
        <v>#VALUE!</v>
      </c>
      <c r="AV1" t="e">
        <f>AND('WJP Rule of Law Index 2012-2013'!AF1,"AAAAAF9bfy8=")</f>
        <v>#VALUE!</v>
      </c>
      <c r="AW1" t="e">
        <f>AND('WJP Rule of Law Index 2012-2013'!AG1,"AAAAAF9bfzA=")</f>
        <v>#VALUE!</v>
      </c>
      <c r="AX1" t="e">
        <f>AND('WJP Rule of Law Index 2012-2013'!#REF!,"AAAAAF9bfzE=")</f>
        <v>#REF!</v>
      </c>
      <c r="AY1" t="e">
        <f>AND('WJP Rule of Law Index 2012-2013'!#REF!,"AAAAAF9bfzI=")</f>
        <v>#REF!</v>
      </c>
      <c r="AZ1" t="e">
        <f>AND('WJP Rule of Law Index 2012-2013'!AH1,"AAAAAF9bfzM=")</f>
        <v>#VALUE!</v>
      </c>
      <c r="BA1" t="e">
        <f>AND('WJP Rule of Law Index 2012-2013'!AI1,"AAAAAF9bfzQ=")</f>
        <v>#VALUE!</v>
      </c>
      <c r="BB1" t="e">
        <f>AND('WJP Rule of Law Index 2012-2013'!AJ1,"AAAAAF9bfzU=")</f>
        <v>#VALUE!</v>
      </c>
      <c r="BC1" t="e">
        <f>AND('WJP Rule of Law Index 2012-2013'!AK1,"AAAAAF9bfzY=")</f>
        <v>#VALUE!</v>
      </c>
      <c r="BD1" t="e">
        <f>AND('WJP Rule of Law Index 2012-2013'!AL1,"AAAAAF9bfzc=")</f>
        <v>#VALUE!</v>
      </c>
      <c r="BE1" t="e">
        <f>AND('WJP Rule of Law Index 2012-2013'!AM1,"AAAAAF9bfzg=")</f>
        <v>#VALUE!</v>
      </c>
      <c r="BF1" t="e">
        <f>AND('WJP Rule of Law Index 2012-2013'!AN1,"AAAAAF9bfzk=")</f>
        <v>#VALUE!</v>
      </c>
      <c r="BG1" t="e">
        <f>AND('WJP Rule of Law Index 2012-2013'!AO1,"AAAAAF9bfzo=")</f>
        <v>#VALUE!</v>
      </c>
      <c r="BH1" t="e">
        <f>AND('WJP Rule of Law Index 2012-2013'!AP1,"AAAAAF9bfzs=")</f>
        <v>#VALUE!</v>
      </c>
      <c r="BI1" t="e">
        <f>AND('WJP Rule of Law Index 2012-2013'!AQ1,"AAAAAF9bfzw=")</f>
        <v>#VALUE!</v>
      </c>
      <c r="BJ1" t="e">
        <f>AND('WJP Rule of Law Index 2012-2013'!AR1,"AAAAAF9bfz0=")</f>
        <v>#VALUE!</v>
      </c>
      <c r="BK1" t="e">
        <f>AND('WJP Rule of Law Index 2012-2013'!AS1,"AAAAAF9bfz4=")</f>
        <v>#VALUE!</v>
      </c>
      <c r="BL1" t="e">
        <f>AND('WJP Rule of Law Index 2012-2013'!AT1,"AAAAAF9bfz8=")</f>
        <v>#VALUE!</v>
      </c>
      <c r="BM1" t="e">
        <f>AND('WJP Rule of Law Index 2012-2013'!AU1,"AAAAAF9bf0A=")</f>
        <v>#VALUE!</v>
      </c>
      <c r="BN1" t="e">
        <f>AND('WJP Rule of Law Index 2012-2013'!#REF!,"AAAAAF9bf0E=")</f>
        <v>#REF!</v>
      </c>
      <c r="BO1" t="e">
        <f>AND('WJP Rule of Law Index 2012-2013'!AV1,"AAAAAF9bf0I=")</f>
        <v>#VALUE!</v>
      </c>
      <c r="BP1" t="e">
        <f>AND('WJP Rule of Law Index 2012-2013'!AW1,"AAAAAF9bf0M=")</f>
        <v>#VALUE!</v>
      </c>
      <c r="BQ1" t="e">
        <f>AND('WJP Rule of Law Index 2012-2013'!AX1,"AAAAAF9bf0Q=")</f>
        <v>#VALUE!</v>
      </c>
      <c r="BR1" t="e">
        <f>AND('WJP Rule of Law Index 2012-2013'!AY1,"AAAAAF9bf0U=")</f>
        <v>#VALUE!</v>
      </c>
      <c r="BS1" t="e">
        <f>AND('WJP Rule of Law Index 2012-2013'!AZ1,"AAAAAF9bf0Y=")</f>
        <v>#VALUE!</v>
      </c>
      <c r="BT1" t="e">
        <f>AND('WJP Rule of Law Index 2012-2013'!BA1,"AAAAAF9bf0c=")</f>
        <v>#VALUE!</v>
      </c>
      <c r="BU1" t="e">
        <f>AND('WJP Rule of Law Index 2012-2013'!BB1,"AAAAAF9bf0g=")</f>
        <v>#VALUE!</v>
      </c>
      <c r="BV1" t="e">
        <f>AND('WJP Rule of Law Index 2012-2013'!BC1,"AAAAAF9bf0k=")</f>
        <v>#VALUE!</v>
      </c>
      <c r="BW1" t="e">
        <f>AND('WJP Rule of Law Index 2012-2013'!BD1,"AAAAAF9bf0o=")</f>
        <v>#VALUE!</v>
      </c>
      <c r="BX1" t="e">
        <f>AND('WJP Rule of Law Index 2012-2013'!BE1,"AAAAAF9bf0s=")</f>
        <v>#VALUE!</v>
      </c>
      <c r="BY1" t="e">
        <f>AND('WJP Rule of Law Index 2012-2013'!BF1,"AAAAAF9bf0w=")</f>
        <v>#VALUE!</v>
      </c>
      <c r="BZ1" t="e">
        <f>AND('WJP Rule of Law Index 2012-2013'!BG1,"AAAAAF9bf00=")</f>
        <v>#VALUE!</v>
      </c>
      <c r="CA1" t="e">
        <f>AND('WJP Rule of Law Index 2012-2013'!BH1,"AAAAAF9bf04=")</f>
        <v>#VALUE!</v>
      </c>
      <c r="CB1" t="e">
        <f>AND('WJP Rule of Law Index 2012-2013'!BI1,"AAAAAF9bf08=")</f>
        <v>#VALUE!</v>
      </c>
      <c r="CC1" t="e">
        <f>AND('WJP Rule of Law Index 2012-2013'!BJ1,"AAAAAF9bf1A=")</f>
        <v>#VALUE!</v>
      </c>
      <c r="CD1" t="e">
        <f>AND('WJP Rule of Law Index 2012-2013'!BK1,"AAAAAF9bf1E=")</f>
        <v>#VALUE!</v>
      </c>
      <c r="CE1" t="e">
        <f>AND('WJP Rule of Law Index 2012-2013'!BL1,"AAAAAF9bf1I=")</f>
        <v>#VALUE!</v>
      </c>
      <c r="CF1" t="e">
        <f>AND('WJP Rule of Law Index 2012-2013'!BM1,"AAAAAF9bf1M=")</f>
        <v>#VALUE!</v>
      </c>
      <c r="CG1" t="e">
        <f>AND('WJP Rule of Law Index 2012-2013'!BN1,"AAAAAF9bf1Q=")</f>
        <v>#VALUE!</v>
      </c>
      <c r="CH1" t="e">
        <f>AND('WJP Rule of Law Index 2012-2013'!BO1,"AAAAAF9bf1U=")</f>
        <v>#VALUE!</v>
      </c>
      <c r="CI1" t="e">
        <f>AND('WJP Rule of Law Index 2012-2013'!BP1,"AAAAAF9bf1Y=")</f>
        <v>#VALUE!</v>
      </c>
      <c r="CJ1" t="e">
        <f>AND('WJP Rule of Law Index 2012-2013'!BQ1,"AAAAAF9bf1c=")</f>
        <v>#VALUE!</v>
      </c>
      <c r="CK1" t="e">
        <f>AND('WJP Rule of Law Index 2012-2013'!BR1,"AAAAAF9bf1g=")</f>
        <v>#VALUE!</v>
      </c>
      <c r="CL1" t="e">
        <f>AND('WJP Rule of Law Index 2012-2013'!BS1,"AAAAAF9bf1k=")</f>
        <v>#VALUE!</v>
      </c>
      <c r="CM1" t="e">
        <f>AND('WJP Rule of Law Index 2012-2013'!BT1,"AAAAAF9bf1o=")</f>
        <v>#VALUE!</v>
      </c>
      <c r="CN1" t="e">
        <f>AND('WJP Rule of Law Index 2012-2013'!BU1,"AAAAAF9bf1s=")</f>
        <v>#VALUE!</v>
      </c>
      <c r="CO1" t="e">
        <f>AND('WJP Rule of Law Index 2012-2013'!BV1,"AAAAAF9bf1w=")</f>
        <v>#VALUE!</v>
      </c>
      <c r="CP1" t="e">
        <f>AND('WJP Rule of Law Index 2012-2013'!BW1,"AAAAAF9bf10=")</f>
        <v>#VALUE!</v>
      </c>
      <c r="CQ1" t="e">
        <f>AND('WJP Rule of Law Index 2012-2013'!BX1,"AAAAAF9bf14=")</f>
        <v>#VALUE!</v>
      </c>
      <c r="CR1" t="e">
        <f>AND('WJP Rule of Law Index 2012-2013'!BY1,"AAAAAF9bf18=")</f>
        <v>#VALUE!</v>
      </c>
      <c r="CS1" t="e">
        <f>AND('WJP Rule of Law Index 2012-2013'!BZ1,"AAAAAF9bf2A=")</f>
        <v>#VALUE!</v>
      </c>
      <c r="CT1" t="e">
        <f>AND('WJP Rule of Law Index 2012-2013'!CA1,"AAAAAF9bf2E=")</f>
        <v>#VALUE!</v>
      </c>
      <c r="CU1">
        <f>IF('WJP Rule of Law Index 2012-2013'!2:2,"AAAAAF9bf2I=",0)</f>
        <v>0</v>
      </c>
      <c r="CV1" t="e">
        <f>AND('WJP Rule of Law Index 2012-2013'!A2,"AAAAAF9bf2M=")</f>
        <v>#VALUE!</v>
      </c>
      <c r="CW1" t="e">
        <f>AND('WJP Rule of Law Index 2012-2013'!B2,"AAAAAF9bf2Q=")</f>
        <v>#VALUE!</v>
      </c>
      <c r="CX1" t="e">
        <f>AND('WJP Rule of Law Index 2012-2013'!#REF!,"AAAAAF9bf2U=")</f>
        <v>#REF!</v>
      </c>
      <c r="CY1" t="e">
        <f>AND('WJP Rule of Law Index 2012-2013'!C2,"AAAAAF9bf2Y=")</f>
        <v>#VALUE!</v>
      </c>
      <c r="CZ1" t="e">
        <f>AND('WJP Rule of Law Index 2012-2013'!#REF!,"AAAAAF9bf2c=")</f>
        <v>#REF!</v>
      </c>
      <c r="DA1" t="e">
        <f>AND('WJP Rule of Law Index 2012-2013'!D2,"AAAAAF9bf2g=")</f>
        <v>#VALUE!</v>
      </c>
      <c r="DB1" t="e">
        <f>AND('WJP Rule of Law Index 2012-2013'!E2,"AAAAAF9bf2k=")</f>
        <v>#VALUE!</v>
      </c>
      <c r="DC1" t="e">
        <f>AND('WJP Rule of Law Index 2012-2013'!F2,"AAAAAF9bf2o=")</f>
        <v>#VALUE!</v>
      </c>
      <c r="DD1" t="e">
        <f>AND('WJP Rule of Law Index 2012-2013'!G2,"AAAAAF9bf2s=")</f>
        <v>#VALUE!</v>
      </c>
      <c r="DE1" t="e">
        <f>AND('WJP Rule of Law Index 2012-2013'!H2,"AAAAAF9bf2w=")</f>
        <v>#VALUE!</v>
      </c>
      <c r="DF1" t="e">
        <f>AND('WJP Rule of Law Index 2012-2013'!I2,"AAAAAF9bf20=")</f>
        <v>#VALUE!</v>
      </c>
      <c r="DG1" t="e">
        <f>AND('WJP Rule of Law Index 2012-2013'!J2,"AAAAAF9bf24=")</f>
        <v>#VALUE!</v>
      </c>
      <c r="DH1" t="e">
        <f>AND('WJP Rule of Law Index 2012-2013'!K2,"AAAAAF9bf28=")</f>
        <v>#VALUE!</v>
      </c>
      <c r="DI1" t="e">
        <f>AND('WJP Rule of Law Index 2012-2013'!#REF!,"AAAAAF9bf3A=")</f>
        <v>#REF!</v>
      </c>
      <c r="DJ1" t="e">
        <f>AND('WJP Rule of Law Index 2012-2013'!#REF!,"AAAAAF9bf3E=")</f>
        <v>#REF!</v>
      </c>
      <c r="DK1" t="e">
        <f>AND('WJP Rule of Law Index 2012-2013'!#REF!,"AAAAAF9bf3I=")</f>
        <v>#REF!</v>
      </c>
      <c r="DL1" t="e">
        <f>AND('WJP Rule of Law Index 2012-2013'!P2,"AAAAAF9bf3M=")</f>
        <v>#VALUE!</v>
      </c>
      <c r="DM1" t="e">
        <f>AND('WJP Rule of Law Index 2012-2013'!Q2,"AAAAAF9bf3Q=")</f>
        <v>#VALUE!</v>
      </c>
      <c r="DN1" t="e">
        <f>AND('WJP Rule of Law Index 2012-2013'!R2,"AAAAAF9bf3U=")</f>
        <v>#VALUE!</v>
      </c>
      <c r="DO1" t="e">
        <f>AND('WJP Rule of Law Index 2012-2013'!S2,"AAAAAF9bf3Y=")</f>
        <v>#VALUE!</v>
      </c>
      <c r="DP1" t="e">
        <f>AND('WJP Rule of Law Index 2012-2013'!T2,"AAAAAF9bf3c=")</f>
        <v>#VALUE!</v>
      </c>
      <c r="DQ1" t="e">
        <f>AND('WJP Rule of Law Index 2012-2013'!U2,"AAAAAF9bf3g=")</f>
        <v>#VALUE!</v>
      </c>
      <c r="DR1" t="e">
        <f>AND('WJP Rule of Law Index 2012-2013'!V2,"AAAAAF9bf3k=")</f>
        <v>#VALUE!</v>
      </c>
      <c r="DS1" t="e">
        <f>AND('WJP Rule of Law Index 2012-2013'!W2,"AAAAAF9bf3o=")</f>
        <v>#VALUE!</v>
      </c>
      <c r="DT1" t="e">
        <f>AND('WJP Rule of Law Index 2012-2013'!X2,"AAAAAF9bf3s=")</f>
        <v>#VALUE!</v>
      </c>
      <c r="DU1" t="e">
        <f>AND('WJP Rule of Law Index 2012-2013'!Y2,"AAAAAF9bf3w=")</f>
        <v>#VALUE!</v>
      </c>
      <c r="DV1" t="e">
        <f>AND('WJP Rule of Law Index 2012-2013'!Z2,"AAAAAF9bf30=")</f>
        <v>#VALUE!</v>
      </c>
      <c r="DW1" t="e">
        <f>AND('WJP Rule of Law Index 2012-2013'!AA2,"AAAAAF9bf34=")</f>
        <v>#VALUE!</v>
      </c>
      <c r="DX1" t="e">
        <f>AND('WJP Rule of Law Index 2012-2013'!AB2,"AAAAAF9bf38=")</f>
        <v>#VALUE!</v>
      </c>
      <c r="DY1" t="e">
        <f>AND('WJP Rule of Law Index 2012-2013'!AC2,"AAAAAF9bf4A=")</f>
        <v>#VALUE!</v>
      </c>
      <c r="DZ1" t="e">
        <f>AND('WJP Rule of Law Index 2012-2013'!AD2,"AAAAAF9bf4E=")</f>
        <v>#VALUE!</v>
      </c>
      <c r="EA1" t="e">
        <f>AND('WJP Rule of Law Index 2012-2013'!AE2,"AAAAAF9bf4I=")</f>
        <v>#VALUE!</v>
      </c>
      <c r="EB1" t="e">
        <f>AND('WJP Rule of Law Index 2012-2013'!AF2,"AAAAAF9bf4M=")</f>
        <v>#VALUE!</v>
      </c>
      <c r="EC1" t="e">
        <f>AND('WJP Rule of Law Index 2012-2013'!AG2,"AAAAAF9bf4Q=")</f>
        <v>#VALUE!</v>
      </c>
      <c r="ED1" t="e">
        <f>AND('WJP Rule of Law Index 2012-2013'!#REF!,"AAAAAF9bf4U=")</f>
        <v>#REF!</v>
      </c>
      <c r="EE1" t="e">
        <f>AND('WJP Rule of Law Index 2012-2013'!#REF!,"AAAAAF9bf4Y=")</f>
        <v>#REF!</v>
      </c>
      <c r="EF1" t="e">
        <f>AND('WJP Rule of Law Index 2012-2013'!AH2,"AAAAAF9bf4c=")</f>
        <v>#VALUE!</v>
      </c>
      <c r="EG1" t="e">
        <f>AND('WJP Rule of Law Index 2012-2013'!AI2,"AAAAAF9bf4g=")</f>
        <v>#VALUE!</v>
      </c>
      <c r="EH1" t="e">
        <f>AND('WJP Rule of Law Index 2012-2013'!AJ2,"AAAAAF9bf4k=")</f>
        <v>#VALUE!</v>
      </c>
      <c r="EI1" t="e">
        <f>AND('WJP Rule of Law Index 2012-2013'!AK2,"AAAAAF9bf4o=")</f>
        <v>#VALUE!</v>
      </c>
      <c r="EJ1" t="e">
        <f>AND('WJP Rule of Law Index 2012-2013'!AL2,"AAAAAF9bf4s=")</f>
        <v>#VALUE!</v>
      </c>
      <c r="EK1" t="e">
        <f>AND('WJP Rule of Law Index 2012-2013'!AM2,"AAAAAF9bf4w=")</f>
        <v>#VALUE!</v>
      </c>
      <c r="EL1" t="e">
        <f>AND('WJP Rule of Law Index 2012-2013'!AN2,"AAAAAF9bf40=")</f>
        <v>#VALUE!</v>
      </c>
      <c r="EM1" t="e">
        <f>AND('WJP Rule of Law Index 2012-2013'!AO2,"AAAAAF9bf44=")</f>
        <v>#VALUE!</v>
      </c>
      <c r="EN1" t="e">
        <f>AND('WJP Rule of Law Index 2012-2013'!AP2,"AAAAAF9bf48=")</f>
        <v>#VALUE!</v>
      </c>
      <c r="EO1" t="e">
        <f>AND('WJP Rule of Law Index 2012-2013'!AQ2,"AAAAAF9bf5A=")</f>
        <v>#VALUE!</v>
      </c>
      <c r="EP1" t="e">
        <f>AND('WJP Rule of Law Index 2012-2013'!AR2,"AAAAAF9bf5E=")</f>
        <v>#VALUE!</v>
      </c>
      <c r="EQ1" t="e">
        <f>AND('WJP Rule of Law Index 2012-2013'!AS2,"AAAAAF9bf5I=")</f>
        <v>#VALUE!</v>
      </c>
      <c r="ER1" t="e">
        <f>AND('WJP Rule of Law Index 2012-2013'!AT2,"AAAAAF9bf5M=")</f>
        <v>#VALUE!</v>
      </c>
      <c r="ES1">
        <f>IF('WJP Rule of Law Index 2012-2013'!3:3,"AAAAAF9bf5Q=",0)</f>
        <v>0</v>
      </c>
      <c r="ET1" t="e">
        <f>AND('WJP Rule of Law Index 2012-2013'!A3,"AAAAAF9bf5U=")</f>
        <v>#VALUE!</v>
      </c>
      <c r="EU1" t="e">
        <f>AND('WJP Rule of Law Index 2012-2013'!B3,"AAAAAF9bf5Y=")</f>
        <v>#VALUE!</v>
      </c>
      <c r="EV1" t="e">
        <f>AND('WJP Rule of Law Index 2012-2013'!#REF!,"AAAAAF9bf5c=")</f>
        <v>#REF!</v>
      </c>
      <c r="EW1" t="e">
        <f>AND('WJP Rule of Law Index 2012-2013'!C3,"AAAAAF9bf5g=")</f>
        <v>#VALUE!</v>
      </c>
      <c r="EX1" t="e">
        <f>AND('WJP Rule of Law Index 2012-2013'!#REF!,"AAAAAF9bf5k=")</f>
        <v>#REF!</v>
      </c>
      <c r="EY1" t="e">
        <f>AND('WJP Rule of Law Index 2012-2013'!D3,"AAAAAF9bf5o=")</f>
        <v>#VALUE!</v>
      </c>
      <c r="EZ1" t="e">
        <f>AND('WJP Rule of Law Index 2012-2013'!E3,"AAAAAF9bf5s=")</f>
        <v>#VALUE!</v>
      </c>
      <c r="FA1" t="e">
        <f>AND('WJP Rule of Law Index 2012-2013'!F3,"AAAAAF9bf5w=")</f>
        <v>#VALUE!</v>
      </c>
      <c r="FB1" t="e">
        <f>AND('WJP Rule of Law Index 2012-2013'!G3,"AAAAAF9bf50=")</f>
        <v>#VALUE!</v>
      </c>
      <c r="FC1" t="e">
        <f>AND('WJP Rule of Law Index 2012-2013'!H3,"AAAAAF9bf54=")</f>
        <v>#VALUE!</v>
      </c>
      <c r="FD1" t="e">
        <f>AND('WJP Rule of Law Index 2012-2013'!I3,"AAAAAF9bf58=")</f>
        <v>#VALUE!</v>
      </c>
      <c r="FE1" t="e">
        <f>AND('WJP Rule of Law Index 2012-2013'!J3,"AAAAAF9bf6A=")</f>
        <v>#VALUE!</v>
      </c>
      <c r="FF1" t="e">
        <f>AND('WJP Rule of Law Index 2012-2013'!K3,"AAAAAF9bf6E=")</f>
        <v>#VALUE!</v>
      </c>
      <c r="FG1" t="e">
        <f>AND('WJP Rule of Law Index 2012-2013'!#REF!,"AAAAAF9bf6I=")</f>
        <v>#REF!</v>
      </c>
      <c r="FH1" t="e">
        <f>AND('WJP Rule of Law Index 2012-2013'!#REF!,"AAAAAF9bf6M=")</f>
        <v>#REF!</v>
      </c>
      <c r="FI1" t="e">
        <f>AND('WJP Rule of Law Index 2012-2013'!#REF!,"AAAAAF9bf6Q=")</f>
        <v>#REF!</v>
      </c>
      <c r="FJ1" t="e">
        <f>AND('WJP Rule of Law Index 2012-2013'!P3,"AAAAAF9bf6U=")</f>
        <v>#VALUE!</v>
      </c>
      <c r="FK1" t="e">
        <f>AND('WJP Rule of Law Index 2012-2013'!Q3,"AAAAAF9bf6Y=")</f>
        <v>#VALUE!</v>
      </c>
      <c r="FL1" t="e">
        <f>AND('WJP Rule of Law Index 2012-2013'!R3,"AAAAAF9bf6c=")</f>
        <v>#VALUE!</v>
      </c>
      <c r="FM1" t="e">
        <f>AND('WJP Rule of Law Index 2012-2013'!S3,"AAAAAF9bf6g=")</f>
        <v>#VALUE!</v>
      </c>
      <c r="FN1" t="e">
        <f>AND('WJP Rule of Law Index 2012-2013'!T3,"AAAAAF9bf6k=")</f>
        <v>#VALUE!</v>
      </c>
      <c r="FO1" t="e">
        <f>AND('WJP Rule of Law Index 2012-2013'!U3,"AAAAAF9bf6o=")</f>
        <v>#VALUE!</v>
      </c>
      <c r="FP1" t="e">
        <f>AND('WJP Rule of Law Index 2012-2013'!V3,"AAAAAF9bf6s=")</f>
        <v>#VALUE!</v>
      </c>
      <c r="FQ1" t="e">
        <f>AND('WJP Rule of Law Index 2012-2013'!W3,"AAAAAF9bf6w=")</f>
        <v>#VALUE!</v>
      </c>
      <c r="FR1" t="e">
        <f>AND('WJP Rule of Law Index 2012-2013'!X3,"AAAAAF9bf60=")</f>
        <v>#VALUE!</v>
      </c>
      <c r="FS1" t="e">
        <f>AND('WJP Rule of Law Index 2012-2013'!Y3,"AAAAAF9bf64=")</f>
        <v>#VALUE!</v>
      </c>
      <c r="FT1" t="e">
        <f>AND('WJP Rule of Law Index 2012-2013'!Z3,"AAAAAF9bf68=")</f>
        <v>#VALUE!</v>
      </c>
      <c r="FU1" t="e">
        <f>AND('WJP Rule of Law Index 2012-2013'!AA3,"AAAAAF9bf7A=")</f>
        <v>#VALUE!</v>
      </c>
      <c r="FV1" t="e">
        <f>AND('WJP Rule of Law Index 2012-2013'!AB3,"AAAAAF9bf7E=")</f>
        <v>#VALUE!</v>
      </c>
      <c r="FW1" t="e">
        <f>AND('WJP Rule of Law Index 2012-2013'!AC3,"AAAAAF9bf7I=")</f>
        <v>#VALUE!</v>
      </c>
      <c r="FX1" t="e">
        <f>AND('WJP Rule of Law Index 2012-2013'!AD3,"AAAAAF9bf7M=")</f>
        <v>#VALUE!</v>
      </c>
      <c r="FY1" t="e">
        <f>AND('WJP Rule of Law Index 2012-2013'!AE3,"AAAAAF9bf7Q=")</f>
        <v>#VALUE!</v>
      </c>
      <c r="FZ1" t="e">
        <f>AND('WJP Rule of Law Index 2012-2013'!AF3,"AAAAAF9bf7U=")</f>
        <v>#VALUE!</v>
      </c>
      <c r="GA1" t="e">
        <f>AND('WJP Rule of Law Index 2012-2013'!AG3,"AAAAAF9bf7Y=")</f>
        <v>#VALUE!</v>
      </c>
      <c r="GB1" t="e">
        <f>AND('WJP Rule of Law Index 2012-2013'!#REF!,"AAAAAF9bf7c=")</f>
        <v>#REF!</v>
      </c>
      <c r="GC1" t="e">
        <f>AND('WJP Rule of Law Index 2012-2013'!#REF!,"AAAAAF9bf7g=")</f>
        <v>#REF!</v>
      </c>
      <c r="GD1" t="e">
        <f>AND('WJP Rule of Law Index 2012-2013'!AH3,"AAAAAF9bf7k=")</f>
        <v>#VALUE!</v>
      </c>
      <c r="GE1" t="e">
        <f>AND('WJP Rule of Law Index 2012-2013'!AI3,"AAAAAF9bf7o=")</f>
        <v>#VALUE!</v>
      </c>
      <c r="GF1" t="e">
        <f>AND('WJP Rule of Law Index 2012-2013'!AJ3,"AAAAAF9bf7s=")</f>
        <v>#VALUE!</v>
      </c>
      <c r="GG1" t="e">
        <f>AND('WJP Rule of Law Index 2012-2013'!AK3,"AAAAAF9bf7w=")</f>
        <v>#VALUE!</v>
      </c>
      <c r="GH1" t="e">
        <f>AND('WJP Rule of Law Index 2012-2013'!AL3,"AAAAAF9bf70=")</f>
        <v>#VALUE!</v>
      </c>
      <c r="GI1" t="e">
        <f>AND('WJP Rule of Law Index 2012-2013'!AM3,"AAAAAF9bf74=")</f>
        <v>#VALUE!</v>
      </c>
      <c r="GJ1" t="e">
        <f>AND('WJP Rule of Law Index 2012-2013'!AN3,"AAAAAF9bf78=")</f>
        <v>#VALUE!</v>
      </c>
      <c r="GK1" t="e">
        <f>AND('WJP Rule of Law Index 2012-2013'!AO3,"AAAAAF9bf8A=")</f>
        <v>#VALUE!</v>
      </c>
      <c r="GL1" t="e">
        <f>AND('WJP Rule of Law Index 2012-2013'!AP3,"AAAAAF9bf8E=")</f>
        <v>#VALUE!</v>
      </c>
      <c r="GM1" t="e">
        <f>AND('WJP Rule of Law Index 2012-2013'!AQ3,"AAAAAF9bf8I=")</f>
        <v>#VALUE!</v>
      </c>
      <c r="GN1" t="e">
        <f>AND('WJP Rule of Law Index 2012-2013'!AR3,"AAAAAF9bf8M=")</f>
        <v>#VALUE!</v>
      </c>
      <c r="GO1" t="e">
        <f>AND('WJP Rule of Law Index 2012-2013'!AS3,"AAAAAF9bf8Q=")</f>
        <v>#VALUE!</v>
      </c>
      <c r="GP1" t="e">
        <f>AND('WJP Rule of Law Index 2012-2013'!AT3,"AAAAAF9bf8U=")</f>
        <v>#VALUE!</v>
      </c>
      <c r="GQ1">
        <f>IF('WJP Rule of Law Index 2012-2013'!4:4,"AAAAAF9bf8Y=",0)</f>
        <v>0</v>
      </c>
      <c r="GR1" t="e">
        <f>AND('WJP Rule of Law Index 2012-2013'!A4,"AAAAAF9bf8c=")</f>
        <v>#VALUE!</v>
      </c>
      <c r="GS1" t="e">
        <f>AND('WJP Rule of Law Index 2012-2013'!B4,"AAAAAF9bf8g=")</f>
        <v>#VALUE!</v>
      </c>
      <c r="GT1" t="e">
        <f>AND('WJP Rule of Law Index 2012-2013'!#REF!,"AAAAAF9bf8k=")</f>
        <v>#REF!</v>
      </c>
      <c r="GU1" t="e">
        <f>AND('WJP Rule of Law Index 2012-2013'!C4,"AAAAAF9bf8o=")</f>
        <v>#VALUE!</v>
      </c>
      <c r="GV1" t="e">
        <f>AND('WJP Rule of Law Index 2012-2013'!#REF!,"AAAAAF9bf8s=")</f>
        <v>#REF!</v>
      </c>
      <c r="GW1" t="e">
        <f>AND('WJP Rule of Law Index 2012-2013'!D4,"AAAAAF9bf8w=")</f>
        <v>#VALUE!</v>
      </c>
      <c r="GX1" t="e">
        <f>AND('WJP Rule of Law Index 2012-2013'!E4,"AAAAAF9bf80=")</f>
        <v>#VALUE!</v>
      </c>
      <c r="GY1" t="e">
        <f>AND('WJP Rule of Law Index 2012-2013'!F4,"AAAAAF9bf84=")</f>
        <v>#VALUE!</v>
      </c>
      <c r="GZ1" t="e">
        <f>AND('WJP Rule of Law Index 2012-2013'!G4,"AAAAAF9bf88=")</f>
        <v>#VALUE!</v>
      </c>
      <c r="HA1" t="e">
        <f>AND('WJP Rule of Law Index 2012-2013'!H4,"AAAAAF9bf9A=")</f>
        <v>#VALUE!</v>
      </c>
      <c r="HB1" t="e">
        <f>AND('WJP Rule of Law Index 2012-2013'!I4,"AAAAAF9bf9E=")</f>
        <v>#VALUE!</v>
      </c>
      <c r="HC1" t="e">
        <f>AND('WJP Rule of Law Index 2012-2013'!J4,"AAAAAF9bf9I=")</f>
        <v>#VALUE!</v>
      </c>
      <c r="HD1" t="e">
        <f>AND('WJP Rule of Law Index 2012-2013'!K4,"AAAAAF9bf9M=")</f>
        <v>#VALUE!</v>
      </c>
      <c r="HE1" t="e">
        <f>AND('WJP Rule of Law Index 2012-2013'!#REF!,"AAAAAF9bf9Q=")</f>
        <v>#REF!</v>
      </c>
      <c r="HF1" t="e">
        <f>AND('WJP Rule of Law Index 2012-2013'!#REF!,"AAAAAF9bf9U=")</f>
        <v>#REF!</v>
      </c>
      <c r="HG1" t="e">
        <f>AND('WJP Rule of Law Index 2012-2013'!#REF!,"AAAAAF9bf9Y=")</f>
        <v>#REF!</v>
      </c>
      <c r="HH1" t="e">
        <f>AND('WJP Rule of Law Index 2012-2013'!P4,"AAAAAF9bf9c=")</f>
        <v>#VALUE!</v>
      </c>
      <c r="HI1" t="e">
        <f>AND('WJP Rule of Law Index 2012-2013'!Q4,"AAAAAF9bf9g=")</f>
        <v>#VALUE!</v>
      </c>
      <c r="HJ1" t="e">
        <f>AND('WJP Rule of Law Index 2012-2013'!R4,"AAAAAF9bf9k=")</f>
        <v>#VALUE!</v>
      </c>
      <c r="HK1" t="e">
        <f>AND('WJP Rule of Law Index 2012-2013'!S4,"AAAAAF9bf9o=")</f>
        <v>#VALUE!</v>
      </c>
      <c r="HL1" t="e">
        <f>AND('WJP Rule of Law Index 2012-2013'!T4,"AAAAAF9bf9s=")</f>
        <v>#VALUE!</v>
      </c>
      <c r="HM1" t="e">
        <f>AND('WJP Rule of Law Index 2012-2013'!U4,"AAAAAF9bf9w=")</f>
        <v>#VALUE!</v>
      </c>
      <c r="HN1" t="e">
        <f>AND('WJP Rule of Law Index 2012-2013'!V4,"AAAAAF9bf90=")</f>
        <v>#VALUE!</v>
      </c>
      <c r="HO1" t="e">
        <f>AND('WJP Rule of Law Index 2012-2013'!W4,"AAAAAF9bf94=")</f>
        <v>#VALUE!</v>
      </c>
      <c r="HP1" t="e">
        <f>AND('WJP Rule of Law Index 2012-2013'!X4,"AAAAAF9bf98=")</f>
        <v>#VALUE!</v>
      </c>
      <c r="HQ1" t="e">
        <f>AND('WJP Rule of Law Index 2012-2013'!Y4,"AAAAAF9bf+A=")</f>
        <v>#VALUE!</v>
      </c>
      <c r="HR1" t="e">
        <f>AND('WJP Rule of Law Index 2012-2013'!Z4,"AAAAAF9bf+E=")</f>
        <v>#VALUE!</v>
      </c>
      <c r="HS1" t="e">
        <f>AND('WJP Rule of Law Index 2012-2013'!AA4,"AAAAAF9bf+I=")</f>
        <v>#VALUE!</v>
      </c>
      <c r="HT1" t="e">
        <f>AND('WJP Rule of Law Index 2012-2013'!AB4,"AAAAAF9bf+M=")</f>
        <v>#VALUE!</v>
      </c>
      <c r="HU1" t="e">
        <f>AND('WJP Rule of Law Index 2012-2013'!AC4,"AAAAAF9bf+Q=")</f>
        <v>#VALUE!</v>
      </c>
      <c r="HV1" t="e">
        <f>AND('WJP Rule of Law Index 2012-2013'!AD4,"AAAAAF9bf+U=")</f>
        <v>#VALUE!</v>
      </c>
      <c r="HW1" t="e">
        <f>AND('WJP Rule of Law Index 2012-2013'!AE4,"AAAAAF9bf+Y=")</f>
        <v>#VALUE!</v>
      </c>
      <c r="HX1" t="e">
        <f>AND('WJP Rule of Law Index 2012-2013'!AF4,"AAAAAF9bf+c=")</f>
        <v>#VALUE!</v>
      </c>
      <c r="HY1" t="e">
        <f>AND('WJP Rule of Law Index 2012-2013'!AG4,"AAAAAF9bf+g=")</f>
        <v>#VALUE!</v>
      </c>
      <c r="HZ1" t="e">
        <f>AND('WJP Rule of Law Index 2012-2013'!#REF!,"AAAAAF9bf+k=")</f>
        <v>#REF!</v>
      </c>
      <c r="IA1" t="e">
        <f>AND('WJP Rule of Law Index 2012-2013'!#REF!,"AAAAAF9bf+o=")</f>
        <v>#REF!</v>
      </c>
      <c r="IB1" t="e">
        <f>AND('WJP Rule of Law Index 2012-2013'!AH4,"AAAAAF9bf+s=")</f>
        <v>#VALUE!</v>
      </c>
      <c r="IC1" t="e">
        <f>AND('WJP Rule of Law Index 2012-2013'!AI4,"AAAAAF9bf+w=")</f>
        <v>#VALUE!</v>
      </c>
      <c r="ID1" t="e">
        <f>AND('WJP Rule of Law Index 2012-2013'!AJ4,"AAAAAF9bf+0=")</f>
        <v>#VALUE!</v>
      </c>
      <c r="IE1" t="e">
        <f>AND('WJP Rule of Law Index 2012-2013'!AK4,"AAAAAF9bf+4=")</f>
        <v>#VALUE!</v>
      </c>
      <c r="IF1" t="e">
        <f>AND('WJP Rule of Law Index 2012-2013'!AL4,"AAAAAF9bf+8=")</f>
        <v>#VALUE!</v>
      </c>
      <c r="IG1" t="e">
        <f>AND('WJP Rule of Law Index 2012-2013'!AM4,"AAAAAF9bf/A=")</f>
        <v>#VALUE!</v>
      </c>
      <c r="IH1" t="e">
        <f>AND('WJP Rule of Law Index 2012-2013'!AN4,"AAAAAF9bf/E=")</f>
        <v>#VALUE!</v>
      </c>
      <c r="II1" t="e">
        <f>AND('WJP Rule of Law Index 2012-2013'!AO4,"AAAAAF9bf/I=")</f>
        <v>#VALUE!</v>
      </c>
      <c r="IJ1" t="e">
        <f>AND('WJP Rule of Law Index 2012-2013'!AP4,"AAAAAF9bf/M=")</f>
        <v>#VALUE!</v>
      </c>
      <c r="IK1" t="e">
        <f>AND('WJP Rule of Law Index 2012-2013'!AQ4,"AAAAAF9bf/Q=")</f>
        <v>#VALUE!</v>
      </c>
      <c r="IL1" t="e">
        <f>AND('WJP Rule of Law Index 2012-2013'!AR4,"AAAAAF9bf/U=")</f>
        <v>#VALUE!</v>
      </c>
      <c r="IM1" t="e">
        <f>AND('WJP Rule of Law Index 2012-2013'!AS4,"AAAAAF9bf/Y=")</f>
        <v>#VALUE!</v>
      </c>
      <c r="IN1" t="e">
        <f>AND('WJP Rule of Law Index 2012-2013'!AT4,"AAAAAF9bf/c=")</f>
        <v>#VALUE!</v>
      </c>
      <c r="IO1">
        <f>IF('WJP Rule of Law Index 2012-2013'!5:5,"AAAAAF9bf/g=",0)</f>
        <v>0</v>
      </c>
      <c r="IP1" t="e">
        <f>AND('WJP Rule of Law Index 2012-2013'!A5,"AAAAAF9bf/k=")</f>
        <v>#VALUE!</v>
      </c>
      <c r="IQ1" t="e">
        <f>AND('WJP Rule of Law Index 2012-2013'!B5,"AAAAAF9bf/o=")</f>
        <v>#VALUE!</v>
      </c>
      <c r="IR1" t="e">
        <f>AND('WJP Rule of Law Index 2012-2013'!#REF!,"AAAAAF9bf/s=")</f>
        <v>#REF!</v>
      </c>
      <c r="IS1" t="e">
        <f>AND('WJP Rule of Law Index 2012-2013'!C5,"AAAAAF9bf/w=")</f>
        <v>#VALUE!</v>
      </c>
      <c r="IT1" t="e">
        <f>AND('WJP Rule of Law Index 2012-2013'!#REF!,"AAAAAF9bf/0=")</f>
        <v>#REF!</v>
      </c>
      <c r="IU1" t="e">
        <f>AND('WJP Rule of Law Index 2012-2013'!D5,"AAAAAF9bf/4=")</f>
        <v>#VALUE!</v>
      </c>
      <c r="IV1" t="e">
        <f>AND('WJP Rule of Law Index 2012-2013'!E5,"AAAAAF9bf/8=")</f>
        <v>#VALUE!</v>
      </c>
    </row>
    <row r="2" spans="1:256" ht="15">
      <c r="A2" t="e">
        <f>AND('WJP Rule of Law Index 2012-2013'!F5,"AAAAAE//sgA=")</f>
        <v>#VALUE!</v>
      </c>
      <c r="B2" t="e">
        <f>AND('WJP Rule of Law Index 2012-2013'!G5,"AAAAAE//sgE=")</f>
        <v>#VALUE!</v>
      </c>
      <c r="C2" t="e">
        <f>AND('WJP Rule of Law Index 2012-2013'!H5,"AAAAAE//sgI=")</f>
        <v>#VALUE!</v>
      </c>
      <c r="D2" t="e">
        <f>AND('WJP Rule of Law Index 2012-2013'!I5,"AAAAAE//sgM=")</f>
        <v>#VALUE!</v>
      </c>
      <c r="E2" t="e">
        <f>AND('WJP Rule of Law Index 2012-2013'!J5,"AAAAAE//sgQ=")</f>
        <v>#VALUE!</v>
      </c>
      <c r="F2" t="e">
        <f>AND('WJP Rule of Law Index 2012-2013'!K5,"AAAAAE//sgU=")</f>
        <v>#VALUE!</v>
      </c>
      <c r="G2" t="e">
        <f>AND('WJP Rule of Law Index 2012-2013'!#REF!,"AAAAAE//sgY=")</f>
        <v>#REF!</v>
      </c>
      <c r="H2" t="e">
        <f>AND('WJP Rule of Law Index 2012-2013'!#REF!,"AAAAAE//sgc=")</f>
        <v>#REF!</v>
      </c>
      <c r="I2" t="e">
        <f>AND('WJP Rule of Law Index 2012-2013'!#REF!,"AAAAAE//sgg=")</f>
        <v>#REF!</v>
      </c>
      <c r="J2" t="e">
        <f>AND('WJP Rule of Law Index 2012-2013'!P5,"AAAAAE//sgk=")</f>
        <v>#VALUE!</v>
      </c>
      <c r="K2" t="e">
        <f>AND('WJP Rule of Law Index 2012-2013'!Q5,"AAAAAE//sgo=")</f>
        <v>#VALUE!</v>
      </c>
      <c r="L2" t="e">
        <f>AND('WJP Rule of Law Index 2012-2013'!R5,"AAAAAE//sgs=")</f>
        <v>#VALUE!</v>
      </c>
      <c r="M2" t="e">
        <f>AND('WJP Rule of Law Index 2012-2013'!S5,"AAAAAE//sgw=")</f>
        <v>#VALUE!</v>
      </c>
      <c r="N2" t="e">
        <f>AND('WJP Rule of Law Index 2012-2013'!T5,"AAAAAE//sg0=")</f>
        <v>#VALUE!</v>
      </c>
      <c r="O2" t="e">
        <f>AND('WJP Rule of Law Index 2012-2013'!U5,"AAAAAE//sg4=")</f>
        <v>#VALUE!</v>
      </c>
      <c r="P2" t="e">
        <f>AND('WJP Rule of Law Index 2012-2013'!V5,"AAAAAE//sg8=")</f>
        <v>#VALUE!</v>
      </c>
      <c r="Q2" t="e">
        <f>AND('WJP Rule of Law Index 2012-2013'!W5,"AAAAAE//shA=")</f>
        <v>#VALUE!</v>
      </c>
      <c r="R2" t="e">
        <f>AND('WJP Rule of Law Index 2012-2013'!X5,"AAAAAE//shE=")</f>
        <v>#VALUE!</v>
      </c>
      <c r="S2" t="e">
        <f>AND('WJP Rule of Law Index 2012-2013'!Y5,"AAAAAE//shI=")</f>
        <v>#VALUE!</v>
      </c>
      <c r="T2" t="e">
        <f>AND('WJP Rule of Law Index 2012-2013'!Z5,"AAAAAE//shM=")</f>
        <v>#VALUE!</v>
      </c>
      <c r="U2" t="e">
        <f>AND('WJP Rule of Law Index 2012-2013'!AA5,"AAAAAE//shQ=")</f>
        <v>#VALUE!</v>
      </c>
      <c r="V2" t="e">
        <f>AND('WJP Rule of Law Index 2012-2013'!AB5,"AAAAAE//shU=")</f>
        <v>#VALUE!</v>
      </c>
      <c r="W2" t="e">
        <f>AND('WJP Rule of Law Index 2012-2013'!AC5,"AAAAAE//shY=")</f>
        <v>#VALUE!</v>
      </c>
      <c r="X2" t="e">
        <f>AND('WJP Rule of Law Index 2012-2013'!AD5,"AAAAAE//shc=")</f>
        <v>#VALUE!</v>
      </c>
      <c r="Y2" t="e">
        <f>AND('WJP Rule of Law Index 2012-2013'!AE5,"AAAAAE//shg=")</f>
        <v>#VALUE!</v>
      </c>
      <c r="Z2" t="e">
        <f>AND('WJP Rule of Law Index 2012-2013'!AF5,"AAAAAE//shk=")</f>
        <v>#VALUE!</v>
      </c>
      <c r="AA2" t="e">
        <f>AND('WJP Rule of Law Index 2012-2013'!AG5,"AAAAAE//sho=")</f>
        <v>#VALUE!</v>
      </c>
      <c r="AB2" t="e">
        <f>AND('WJP Rule of Law Index 2012-2013'!#REF!,"AAAAAE//shs=")</f>
        <v>#REF!</v>
      </c>
      <c r="AC2" t="e">
        <f>AND('WJP Rule of Law Index 2012-2013'!#REF!,"AAAAAE//shw=")</f>
        <v>#REF!</v>
      </c>
      <c r="AD2" t="e">
        <f>AND('WJP Rule of Law Index 2012-2013'!AH5,"AAAAAE//sh0=")</f>
        <v>#VALUE!</v>
      </c>
      <c r="AE2" t="e">
        <f>AND('WJP Rule of Law Index 2012-2013'!AI5,"AAAAAE//sh4=")</f>
        <v>#VALUE!</v>
      </c>
      <c r="AF2" t="e">
        <f>AND('WJP Rule of Law Index 2012-2013'!AJ5,"AAAAAE//sh8=")</f>
        <v>#VALUE!</v>
      </c>
      <c r="AG2" t="e">
        <f>AND('WJP Rule of Law Index 2012-2013'!AK5,"AAAAAE//siA=")</f>
        <v>#VALUE!</v>
      </c>
      <c r="AH2" t="e">
        <f>AND('WJP Rule of Law Index 2012-2013'!AL5,"AAAAAE//siE=")</f>
        <v>#VALUE!</v>
      </c>
      <c r="AI2" t="e">
        <f>AND('WJP Rule of Law Index 2012-2013'!AM5,"AAAAAE//siI=")</f>
        <v>#VALUE!</v>
      </c>
      <c r="AJ2" t="e">
        <f>AND('WJP Rule of Law Index 2012-2013'!AN5,"AAAAAE//siM=")</f>
        <v>#VALUE!</v>
      </c>
      <c r="AK2" t="e">
        <f>AND('WJP Rule of Law Index 2012-2013'!AO5,"AAAAAE//siQ=")</f>
        <v>#VALUE!</v>
      </c>
      <c r="AL2" t="e">
        <f>AND('WJP Rule of Law Index 2012-2013'!AP5,"AAAAAE//siU=")</f>
        <v>#VALUE!</v>
      </c>
      <c r="AM2" t="e">
        <f>AND('WJP Rule of Law Index 2012-2013'!AQ5,"AAAAAE//siY=")</f>
        <v>#VALUE!</v>
      </c>
      <c r="AN2" t="e">
        <f>AND('WJP Rule of Law Index 2012-2013'!AR5,"AAAAAE//sic=")</f>
        <v>#VALUE!</v>
      </c>
      <c r="AO2" t="e">
        <f>AND('WJP Rule of Law Index 2012-2013'!AS5,"AAAAAE//sig=")</f>
        <v>#VALUE!</v>
      </c>
      <c r="AP2" t="e">
        <f>AND('WJP Rule of Law Index 2012-2013'!AT5,"AAAAAE//sik=")</f>
        <v>#VALUE!</v>
      </c>
      <c r="AQ2" t="str">
        <f>IF('WJP Rule of Law Index 2012-2013'!6:6,"AAAAAE//sio=",0)</f>
        <v>AAAAAE//sio=</v>
      </c>
      <c r="AR2" t="e">
        <f>AND('WJP Rule of Law Index 2012-2013'!A6,"AAAAAE//sis=")</f>
        <v>#VALUE!</v>
      </c>
      <c r="AS2" t="e">
        <f>AND('WJP Rule of Law Index 2012-2013'!B6,"AAAAAE//siw=")</f>
        <v>#VALUE!</v>
      </c>
      <c r="AT2" t="e">
        <f>AND('WJP Rule of Law Index 2012-2013'!#REF!,"AAAAAE//si0=")</f>
        <v>#REF!</v>
      </c>
      <c r="AU2" t="e">
        <f>AND('WJP Rule of Law Index 2012-2013'!C6,"AAAAAE//si4=")</f>
        <v>#VALUE!</v>
      </c>
      <c r="AV2" t="e">
        <f>AND('WJP Rule of Law Index 2012-2013'!#REF!,"AAAAAE//si8=")</f>
        <v>#REF!</v>
      </c>
      <c r="AW2" t="e">
        <f>AND('WJP Rule of Law Index 2012-2013'!D6,"AAAAAE//sjA=")</f>
        <v>#VALUE!</v>
      </c>
      <c r="AX2" t="e">
        <f>AND('WJP Rule of Law Index 2012-2013'!E6,"AAAAAE//sjE=")</f>
        <v>#VALUE!</v>
      </c>
      <c r="AY2" t="e">
        <f>AND('WJP Rule of Law Index 2012-2013'!F6,"AAAAAE//sjI=")</f>
        <v>#VALUE!</v>
      </c>
      <c r="AZ2" t="e">
        <f>AND('WJP Rule of Law Index 2012-2013'!G6,"AAAAAE//sjM=")</f>
        <v>#VALUE!</v>
      </c>
      <c r="BA2" t="e">
        <f>AND('WJP Rule of Law Index 2012-2013'!H6,"AAAAAE//sjQ=")</f>
        <v>#VALUE!</v>
      </c>
      <c r="BB2" t="e">
        <f>AND('WJP Rule of Law Index 2012-2013'!I6,"AAAAAE//sjU=")</f>
        <v>#VALUE!</v>
      </c>
      <c r="BC2" t="e">
        <f>AND('WJP Rule of Law Index 2012-2013'!J6,"AAAAAE//sjY=")</f>
        <v>#VALUE!</v>
      </c>
      <c r="BD2" t="e">
        <f>AND('WJP Rule of Law Index 2012-2013'!K6,"AAAAAE//sjc=")</f>
        <v>#VALUE!</v>
      </c>
      <c r="BE2" t="e">
        <f>AND('WJP Rule of Law Index 2012-2013'!#REF!,"AAAAAE//sjg=")</f>
        <v>#REF!</v>
      </c>
      <c r="BF2" t="e">
        <f>AND('WJP Rule of Law Index 2012-2013'!#REF!,"AAAAAE//sjk=")</f>
        <v>#REF!</v>
      </c>
      <c r="BG2" t="e">
        <f>AND('WJP Rule of Law Index 2012-2013'!#REF!,"AAAAAE//sjo=")</f>
        <v>#REF!</v>
      </c>
      <c r="BH2" t="e">
        <f>AND('WJP Rule of Law Index 2012-2013'!P6,"AAAAAE//sjs=")</f>
        <v>#VALUE!</v>
      </c>
      <c r="BI2" t="e">
        <f>AND('WJP Rule of Law Index 2012-2013'!Q6,"AAAAAE//sjw=")</f>
        <v>#VALUE!</v>
      </c>
      <c r="BJ2" t="e">
        <f>AND('WJP Rule of Law Index 2012-2013'!R6,"AAAAAE//sj0=")</f>
        <v>#VALUE!</v>
      </c>
      <c r="BK2" t="e">
        <f>AND('WJP Rule of Law Index 2012-2013'!S6,"AAAAAE//sj4=")</f>
        <v>#VALUE!</v>
      </c>
      <c r="BL2" t="e">
        <f>AND('WJP Rule of Law Index 2012-2013'!T6,"AAAAAE//sj8=")</f>
        <v>#VALUE!</v>
      </c>
      <c r="BM2" t="e">
        <f>AND('WJP Rule of Law Index 2012-2013'!U6,"AAAAAE//skA=")</f>
        <v>#VALUE!</v>
      </c>
      <c r="BN2" t="e">
        <f>AND('WJP Rule of Law Index 2012-2013'!V6,"AAAAAE//skE=")</f>
        <v>#VALUE!</v>
      </c>
      <c r="BO2" t="e">
        <f>AND('WJP Rule of Law Index 2012-2013'!W6,"AAAAAE//skI=")</f>
        <v>#VALUE!</v>
      </c>
      <c r="BP2" t="e">
        <f>AND('WJP Rule of Law Index 2012-2013'!X6,"AAAAAE//skM=")</f>
        <v>#VALUE!</v>
      </c>
      <c r="BQ2" t="e">
        <f>AND('WJP Rule of Law Index 2012-2013'!Y6,"AAAAAE//skQ=")</f>
        <v>#VALUE!</v>
      </c>
      <c r="BR2" t="e">
        <f>AND('WJP Rule of Law Index 2012-2013'!Z6,"AAAAAE//skU=")</f>
        <v>#VALUE!</v>
      </c>
      <c r="BS2" t="e">
        <f>AND('WJP Rule of Law Index 2012-2013'!AA6,"AAAAAE//skY=")</f>
        <v>#VALUE!</v>
      </c>
      <c r="BT2" t="e">
        <f>AND('WJP Rule of Law Index 2012-2013'!AB6,"AAAAAE//skc=")</f>
        <v>#VALUE!</v>
      </c>
      <c r="BU2" t="e">
        <f>AND('WJP Rule of Law Index 2012-2013'!AC6,"AAAAAE//skg=")</f>
        <v>#VALUE!</v>
      </c>
      <c r="BV2" t="e">
        <f>AND('WJP Rule of Law Index 2012-2013'!AD6,"AAAAAE//skk=")</f>
        <v>#VALUE!</v>
      </c>
      <c r="BW2" t="e">
        <f>AND('WJP Rule of Law Index 2012-2013'!AE6,"AAAAAE//sko=")</f>
        <v>#VALUE!</v>
      </c>
      <c r="BX2" t="e">
        <f>AND('WJP Rule of Law Index 2012-2013'!AF6,"AAAAAE//sks=")</f>
        <v>#VALUE!</v>
      </c>
      <c r="BY2" t="e">
        <f>AND('WJP Rule of Law Index 2012-2013'!AG6,"AAAAAE//skw=")</f>
        <v>#VALUE!</v>
      </c>
      <c r="BZ2" t="e">
        <f>AND('WJP Rule of Law Index 2012-2013'!#REF!,"AAAAAE//sk0=")</f>
        <v>#REF!</v>
      </c>
      <c r="CA2" t="e">
        <f>AND('WJP Rule of Law Index 2012-2013'!#REF!,"AAAAAE//sk4=")</f>
        <v>#REF!</v>
      </c>
      <c r="CB2" t="e">
        <f>AND('WJP Rule of Law Index 2012-2013'!AH6,"AAAAAE//sk8=")</f>
        <v>#VALUE!</v>
      </c>
      <c r="CC2" t="e">
        <f>AND('WJP Rule of Law Index 2012-2013'!AI6,"AAAAAE//slA=")</f>
        <v>#VALUE!</v>
      </c>
      <c r="CD2" t="e">
        <f>AND('WJP Rule of Law Index 2012-2013'!AJ6,"AAAAAE//slE=")</f>
        <v>#VALUE!</v>
      </c>
      <c r="CE2" t="e">
        <f>AND('WJP Rule of Law Index 2012-2013'!AK6,"AAAAAE//slI=")</f>
        <v>#VALUE!</v>
      </c>
      <c r="CF2" t="e">
        <f>AND('WJP Rule of Law Index 2012-2013'!AL6,"AAAAAE//slM=")</f>
        <v>#VALUE!</v>
      </c>
      <c r="CG2" t="e">
        <f>AND('WJP Rule of Law Index 2012-2013'!AM6,"AAAAAE//slQ=")</f>
        <v>#VALUE!</v>
      </c>
      <c r="CH2" t="e">
        <f>AND('WJP Rule of Law Index 2012-2013'!AN6,"AAAAAE//slU=")</f>
        <v>#VALUE!</v>
      </c>
      <c r="CI2" t="e">
        <f>AND('WJP Rule of Law Index 2012-2013'!AO6,"AAAAAE//slY=")</f>
        <v>#VALUE!</v>
      </c>
      <c r="CJ2" t="e">
        <f>AND('WJP Rule of Law Index 2012-2013'!AP6,"AAAAAE//slc=")</f>
        <v>#VALUE!</v>
      </c>
      <c r="CK2" t="e">
        <f>AND('WJP Rule of Law Index 2012-2013'!AQ6,"AAAAAE//slg=")</f>
        <v>#VALUE!</v>
      </c>
      <c r="CL2" t="e">
        <f>AND('WJP Rule of Law Index 2012-2013'!AR6,"AAAAAE//slk=")</f>
        <v>#VALUE!</v>
      </c>
      <c r="CM2" t="e">
        <f>AND('WJP Rule of Law Index 2012-2013'!AS6,"AAAAAE//slo=")</f>
        <v>#VALUE!</v>
      </c>
      <c r="CN2" t="e">
        <f>AND('WJP Rule of Law Index 2012-2013'!AT6,"AAAAAE//sls=")</f>
        <v>#VALUE!</v>
      </c>
      <c r="CO2">
        <f>IF('WJP Rule of Law Index 2012-2013'!7:7,"AAAAAE//slw=",0)</f>
        <v>0</v>
      </c>
      <c r="CP2" t="e">
        <f>AND('WJP Rule of Law Index 2012-2013'!A7,"AAAAAE//sl0=")</f>
        <v>#VALUE!</v>
      </c>
      <c r="CQ2" t="e">
        <f>AND('WJP Rule of Law Index 2012-2013'!B7,"AAAAAE//sl4=")</f>
        <v>#VALUE!</v>
      </c>
      <c r="CR2" t="e">
        <f>AND('WJP Rule of Law Index 2012-2013'!#REF!,"AAAAAE//sl8=")</f>
        <v>#REF!</v>
      </c>
      <c r="CS2" t="e">
        <f>AND('WJP Rule of Law Index 2012-2013'!C7,"AAAAAE//smA=")</f>
        <v>#VALUE!</v>
      </c>
      <c r="CT2" t="e">
        <f>AND('WJP Rule of Law Index 2012-2013'!#REF!,"AAAAAE//smE=")</f>
        <v>#REF!</v>
      </c>
      <c r="CU2" t="e">
        <f>AND('WJP Rule of Law Index 2012-2013'!D7,"AAAAAE//smI=")</f>
        <v>#VALUE!</v>
      </c>
      <c r="CV2" t="e">
        <f>AND('WJP Rule of Law Index 2012-2013'!E7,"AAAAAE//smM=")</f>
        <v>#VALUE!</v>
      </c>
      <c r="CW2" t="e">
        <f>AND('WJP Rule of Law Index 2012-2013'!F7,"AAAAAE//smQ=")</f>
        <v>#VALUE!</v>
      </c>
      <c r="CX2" t="e">
        <f>AND('WJP Rule of Law Index 2012-2013'!G7,"AAAAAE//smU=")</f>
        <v>#VALUE!</v>
      </c>
      <c r="CY2" t="e">
        <f>AND('WJP Rule of Law Index 2012-2013'!H7,"AAAAAE//smY=")</f>
        <v>#VALUE!</v>
      </c>
      <c r="CZ2" t="e">
        <f>AND('WJP Rule of Law Index 2012-2013'!I7,"AAAAAE//smc=")</f>
        <v>#VALUE!</v>
      </c>
      <c r="DA2" t="e">
        <f>AND('WJP Rule of Law Index 2012-2013'!J7,"AAAAAE//smg=")</f>
        <v>#VALUE!</v>
      </c>
      <c r="DB2" t="e">
        <f>AND('WJP Rule of Law Index 2012-2013'!K7,"AAAAAE//smk=")</f>
        <v>#VALUE!</v>
      </c>
      <c r="DC2" t="e">
        <f>AND('WJP Rule of Law Index 2012-2013'!#REF!,"AAAAAE//smo=")</f>
        <v>#REF!</v>
      </c>
      <c r="DD2" t="e">
        <f>AND('WJP Rule of Law Index 2012-2013'!#REF!,"AAAAAE//sms=")</f>
        <v>#REF!</v>
      </c>
      <c r="DE2" t="e">
        <f>AND('WJP Rule of Law Index 2012-2013'!#REF!,"AAAAAE//smw=")</f>
        <v>#REF!</v>
      </c>
      <c r="DF2" t="e">
        <f>AND('WJP Rule of Law Index 2012-2013'!P7,"AAAAAE//sm0=")</f>
        <v>#VALUE!</v>
      </c>
      <c r="DG2" t="e">
        <f>AND('WJP Rule of Law Index 2012-2013'!Q7,"AAAAAE//sm4=")</f>
        <v>#VALUE!</v>
      </c>
      <c r="DH2" t="e">
        <f>AND('WJP Rule of Law Index 2012-2013'!R7,"AAAAAE//sm8=")</f>
        <v>#VALUE!</v>
      </c>
      <c r="DI2" t="e">
        <f>AND('WJP Rule of Law Index 2012-2013'!S7,"AAAAAE//snA=")</f>
        <v>#VALUE!</v>
      </c>
      <c r="DJ2" t="e">
        <f>AND('WJP Rule of Law Index 2012-2013'!T7,"AAAAAE//snE=")</f>
        <v>#VALUE!</v>
      </c>
      <c r="DK2" t="e">
        <f>AND('WJP Rule of Law Index 2012-2013'!U7,"AAAAAE//snI=")</f>
        <v>#VALUE!</v>
      </c>
      <c r="DL2" t="e">
        <f>AND('WJP Rule of Law Index 2012-2013'!V7,"AAAAAE//snM=")</f>
        <v>#VALUE!</v>
      </c>
      <c r="DM2" t="e">
        <f>AND('WJP Rule of Law Index 2012-2013'!W7,"AAAAAE//snQ=")</f>
        <v>#VALUE!</v>
      </c>
      <c r="DN2" t="e">
        <f>AND('WJP Rule of Law Index 2012-2013'!X7,"AAAAAE//snU=")</f>
        <v>#VALUE!</v>
      </c>
      <c r="DO2" t="e">
        <f>AND('WJP Rule of Law Index 2012-2013'!Y7,"AAAAAE//snY=")</f>
        <v>#VALUE!</v>
      </c>
      <c r="DP2" t="e">
        <f>AND('WJP Rule of Law Index 2012-2013'!Z7,"AAAAAE//snc=")</f>
        <v>#VALUE!</v>
      </c>
      <c r="DQ2" t="e">
        <f>AND('WJP Rule of Law Index 2012-2013'!AA7,"AAAAAE//sng=")</f>
        <v>#VALUE!</v>
      </c>
      <c r="DR2" t="e">
        <f>AND('WJP Rule of Law Index 2012-2013'!AB7,"AAAAAE//snk=")</f>
        <v>#VALUE!</v>
      </c>
      <c r="DS2" t="e">
        <f>AND('WJP Rule of Law Index 2012-2013'!AC7,"AAAAAE//sno=")</f>
        <v>#VALUE!</v>
      </c>
      <c r="DT2" t="e">
        <f>AND('WJP Rule of Law Index 2012-2013'!AD7,"AAAAAE//sns=")</f>
        <v>#VALUE!</v>
      </c>
      <c r="DU2" t="e">
        <f>AND('WJP Rule of Law Index 2012-2013'!AE7,"AAAAAE//snw=")</f>
        <v>#VALUE!</v>
      </c>
      <c r="DV2" t="e">
        <f>AND('WJP Rule of Law Index 2012-2013'!AF7,"AAAAAE//sn0=")</f>
        <v>#VALUE!</v>
      </c>
      <c r="DW2" t="e">
        <f>AND('WJP Rule of Law Index 2012-2013'!AG7,"AAAAAE//sn4=")</f>
        <v>#VALUE!</v>
      </c>
      <c r="DX2" t="e">
        <f>AND('WJP Rule of Law Index 2012-2013'!#REF!,"AAAAAE//sn8=")</f>
        <v>#REF!</v>
      </c>
      <c r="DY2" t="e">
        <f>AND('WJP Rule of Law Index 2012-2013'!#REF!,"AAAAAE//soA=")</f>
        <v>#REF!</v>
      </c>
      <c r="DZ2" t="e">
        <f>AND('WJP Rule of Law Index 2012-2013'!AH7,"AAAAAE//soE=")</f>
        <v>#VALUE!</v>
      </c>
      <c r="EA2" t="e">
        <f>AND('WJP Rule of Law Index 2012-2013'!AI7,"AAAAAE//soI=")</f>
        <v>#VALUE!</v>
      </c>
      <c r="EB2" t="e">
        <f>AND('WJP Rule of Law Index 2012-2013'!AJ7,"AAAAAE//soM=")</f>
        <v>#VALUE!</v>
      </c>
      <c r="EC2" t="e">
        <f>AND('WJP Rule of Law Index 2012-2013'!AK7,"AAAAAE//soQ=")</f>
        <v>#VALUE!</v>
      </c>
      <c r="ED2" t="e">
        <f>AND('WJP Rule of Law Index 2012-2013'!AL7,"AAAAAE//soU=")</f>
        <v>#VALUE!</v>
      </c>
      <c r="EE2" t="e">
        <f>AND('WJP Rule of Law Index 2012-2013'!AM7,"AAAAAE//soY=")</f>
        <v>#VALUE!</v>
      </c>
      <c r="EF2" t="e">
        <f>AND('WJP Rule of Law Index 2012-2013'!AN7,"AAAAAE//soc=")</f>
        <v>#VALUE!</v>
      </c>
      <c r="EG2" t="e">
        <f>AND('WJP Rule of Law Index 2012-2013'!AO7,"AAAAAE//sog=")</f>
        <v>#VALUE!</v>
      </c>
      <c r="EH2" t="e">
        <f>AND('WJP Rule of Law Index 2012-2013'!AP7,"AAAAAE//sok=")</f>
        <v>#VALUE!</v>
      </c>
      <c r="EI2" t="e">
        <f>AND('WJP Rule of Law Index 2012-2013'!AQ7,"AAAAAE//soo=")</f>
        <v>#VALUE!</v>
      </c>
      <c r="EJ2" t="e">
        <f>AND('WJP Rule of Law Index 2012-2013'!AR7,"AAAAAE//sos=")</f>
        <v>#VALUE!</v>
      </c>
      <c r="EK2" t="e">
        <f>AND('WJP Rule of Law Index 2012-2013'!AS7,"AAAAAE//sow=")</f>
        <v>#VALUE!</v>
      </c>
      <c r="EL2" t="e">
        <f>AND('WJP Rule of Law Index 2012-2013'!AT7,"AAAAAE//so0=")</f>
        <v>#VALUE!</v>
      </c>
      <c r="EM2">
        <f>IF('WJP Rule of Law Index 2012-2013'!8:8,"AAAAAE//so4=",0)</f>
        <v>0</v>
      </c>
      <c r="EN2" t="e">
        <f>AND('WJP Rule of Law Index 2012-2013'!A8,"AAAAAE//so8=")</f>
        <v>#VALUE!</v>
      </c>
      <c r="EO2" t="e">
        <f>AND('WJP Rule of Law Index 2012-2013'!B8,"AAAAAE//spA=")</f>
        <v>#VALUE!</v>
      </c>
      <c r="EP2" t="e">
        <f>AND('WJP Rule of Law Index 2012-2013'!#REF!,"AAAAAE//spE=")</f>
        <v>#REF!</v>
      </c>
      <c r="EQ2" t="e">
        <f>AND('WJP Rule of Law Index 2012-2013'!C8,"AAAAAE//spI=")</f>
        <v>#VALUE!</v>
      </c>
      <c r="ER2" t="e">
        <f>AND('WJP Rule of Law Index 2012-2013'!#REF!,"AAAAAE//spM=")</f>
        <v>#REF!</v>
      </c>
      <c r="ES2" t="e">
        <f>AND('WJP Rule of Law Index 2012-2013'!D8,"AAAAAE//spQ=")</f>
        <v>#VALUE!</v>
      </c>
      <c r="ET2" t="e">
        <f>AND('WJP Rule of Law Index 2012-2013'!E8,"AAAAAE//spU=")</f>
        <v>#VALUE!</v>
      </c>
      <c r="EU2" t="e">
        <f>AND('WJP Rule of Law Index 2012-2013'!F8,"AAAAAE//spY=")</f>
        <v>#VALUE!</v>
      </c>
      <c r="EV2" t="e">
        <f>AND('WJP Rule of Law Index 2012-2013'!G8,"AAAAAE//spc=")</f>
        <v>#VALUE!</v>
      </c>
      <c r="EW2" t="e">
        <f>AND('WJP Rule of Law Index 2012-2013'!H8,"AAAAAE//spg=")</f>
        <v>#VALUE!</v>
      </c>
      <c r="EX2" t="e">
        <f>AND('WJP Rule of Law Index 2012-2013'!I8,"AAAAAE//spk=")</f>
        <v>#VALUE!</v>
      </c>
      <c r="EY2" t="e">
        <f>AND('WJP Rule of Law Index 2012-2013'!J8,"AAAAAE//spo=")</f>
        <v>#VALUE!</v>
      </c>
      <c r="EZ2" t="e">
        <f>AND('WJP Rule of Law Index 2012-2013'!K8,"AAAAAE//sps=")</f>
        <v>#VALUE!</v>
      </c>
      <c r="FA2" t="e">
        <f>AND('WJP Rule of Law Index 2012-2013'!#REF!,"AAAAAE//spw=")</f>
        <v>#REF!</v>
      </c>
      <c r="FB2" t="e">
        <f>AND('WJP Rule of Law Index 2012-2013'!#REF!,"AAAAAE//sp0=")</f>
        <v>#REF!</v>
      </c>
      <c r="FC2" t="e">
        <f>AND('WJP Rule of Law Index 2012-2013'!#REF!,"AAAAAE//sp4=")</f>
        <v>#REF!</v>
      </c>
      <c r="FD2" t="e">
        <f>AND('WJP Rule of Law Index 2012-2013'!P8,"AAAAAE//sp8=")</f>
        <v>#VALUE!</v>
      </c>
      <c r="FE2" t="e">
        <f>AND('WJP Rule of Law Index 2012-2013'!Q8,"AAAAAE//sqA=")</f>
        <v>#VALUE!</v>
      </c>
      <c r="FF2" t="e">
        <f>AND('WJP Rule of Law Index 2012-2013'!R8,"AAAAAE//sqE=")</f>
        <v>#VALUE!</v>
      </c>
      <c r="FG2" t="e">
        <f>AND('WJP Rule of Law Index 2012-2013'!S8,"AAAAAE//sqI=")</f>
        <v>#VALUE!</v>
      </c>
      <c r="FH2" t="e">
        <f>AND('WJP Rule of Law Index 2012-2013'!T8,"AAAAAE//sqM=")</f>
        <v>#VALUE!</v>
      </c>
      <c r="FI2" t="e">
        <f>AND('WJP Rule of Law Index 2012-2013'!U8,"AAAAAE//sqQ=")</f>
        <v>#VALUE!</v>
      </c>
      <c r="FJ2" t="e">
        <f>AND('WJP Rule of Law Index 2012-2013'!V8,"AAAAAE//sqU=")</f>
        <v>#VALUE!</v>
      </c>
      <c r="FK2" t="e">
        <f>AND('WJP Rule of Law Index 2012-2013'!W8,"AAAAAE//sqY=")</f>
        <v>#VALUE!</v>
      </c>
      <c r="FL2" t="e">
        <f>AND('WJP Rule of Law Index 2012-2013'!X8,"AAAAAE//sqc=")</f>
        <v>#VALUE!</v>
      </c>
      <c r="FM2" t="e">
        <f>AND('WJP Rule of Law Index 2012-2013'!Y8,"AAAAAE//sqg=")</f>
        <v>#VALUE!</v>
      </c>
      <c r="FN2" t="e">
        <f>AND('WJP Rule of Law Index 2012-2013'!Z8,"AAAAAE//sqk=")</f>
        <v>#VALUE!</v>
      </c>
      <c r="FO2" t="e">
        <f>AND('WJP Rule of Law Index 2012-2013'!AA8,"AAAAAE//sqo=")</f>
        <v>#VALUE!</v>
      </c>
      <c r="FP2" t="e">
        <f>AND('WJP Rule of Law Index 2012-2013'!AB8,"AAAAAE//sqs=")</f>
        <v>#VALUE!</v>
      </c>
      <c r="FQ2" t="e">
        <f>AND('WJP Rule of Law Index 2012-2013'!AC8,"AAAAAE//sqw=")</f>
        <v>#VALUE!</v>
      </c>
      <c r="FR2" t="e">
        <f>AND('WJP Rule of Law Index 2012-2013'!AD8,"AAAAAE//sq0=")</f>
        <v>#VALUE!</v>
      </c>
      <c r="FS2" t="e">
        <f>AND('WJP Rule of Law Index 2012-2013'!AE8,"AAAAAE//sq4=")</f>
        <v>#VALUE!</v>
      </c>
      <c r="FT2" t="e">
        <f>AND('WJP Rule of Law Index 2012-2013'!AF8,"AAAAAE//sq8=")</f>
        <v>#VALUE!</v>
      </c>
      <c r="FU2" t="e">
        <f>AND('WJP Rule of Law Index 2012-2013'!AG8,"AAAAAE//srA=")</f>
        <v>#VALUE!</v>
      </c>
      <c r="FV2" t="e">
        <f>AND('WJP Rule of Law Index 2012-2013'!#REF!,"AAAAAE//srE=")</f>
        <v>#REF!</v>
      </c>
      <c r="FW2" t="e">
        <f>AND('WJP Rule of Law Index 2012-2013'!#REF!,"AAAAAE//srI=")</f>
        <v>#REF!</v>
      </c>
      <c r="FX2" t="e">
        <f>AND('WJP Rule of Law Index 2012-2013'!AH8,"AAAAAE//srM=")</f>
        <v>#VALUE!</v>
      </c>
      <c r="FY2" t="e">
        <f>AND('WJP Rule of Law Index 2012-2013'!AI8,"AAAAAE//srQ=")</f>
        <v>#VALUE!</v>
      </c>
      <c r="FZ2" t="e">
        <f>AND('WJP Rule of Law Index 2012-2013'!AJ8,"AAAAAE//srU=")</f>
        <v>#VALUE!</v>
      </c>
      <c r="GA2" t="e">
        <f>AND('WJP Rule of Law Index 2012-2013'!AK8,"AAAAAE//srY=")</f>
        <v>#VALUE!</v>
      </c>
      <c r="GB2" t="e">
        <f>AND('WJP Rule of Law Index 2012-2013'!AL8,"AAAAAE//src=")</f>
        <v>#VALUE!</v>
      </c>
      <c r="GC2" t="e">
        <f>AND('WJP Rule of Law Index 2012-2013'!AM8,"AAAAAE//srg=")</f>
        <v>#VALUE!</v>
      </c>
      <c r="GD2" t="e">
        <f>AND('WJP Rule of Law Index 2012-2013'!AN8,"AAAAAE//srk=")</f>
        <v>#VALUE!</v>
      </c>
      <c r="GE2" t="e">
        <f>AND('WJP Rule of Law Index 2012-2013'!AO8,"AAAAAE//sro=")</f>
        <v>#VALUE!</v>
      </c>
      <c r="GF2" t="e">
        <f>AND('WJP Rule of Law Index 2012-2013'!AP8,"AAAAAE//srs=")</f>
        <v>#VALUE!</v>
      </c>
      <c r="GG2" t="e">
        <f>AND('WJP Rule of Law Index 2012-2013'!AQ8,"AAAAAE//srw=")</f>
        <v>#VALUE!</v>
      </c>
      <c r="GH2" t="e">
        <f>AND('WJP Rule of Law Index 2012-2013'!AR8,"AAAAAE//sr0=")</f>
        <v>#VALUE!</v>
      </c>
      <c r="GI2" t="e">
        <f>AND('WJP Rule of Law Index 2012-2013'!AS8,"AAAAAE//sr4=")</f>
        <v>#VALUE!</v>
      </c>
      <c r="GJ2" t="e">
        <f>AND('WJP Rule of Law Index 2012-2013'!AT8,"AAAAAE//sr8=")</f>
        <v>#VALUE!</v>
      </c>
      <c r="GK2">
        <f>IF('WJP Rule of Law Index 2012-2013'!9:9,"AAAAAE//ssA=",0)</f>
        <v>0</v>
      </c>
      <c r="GL2" t="e">
        <f>AND('WJP Rule of Law Index 2012-2013'!A9,"AAAAAE//ssE=")</f>
        <v>#VALUE!</v>
      </c>
      <c r="GM2" t="e">
        <f>AND('WJP Rule of Law Index 2012-2013'!B9,"AAAAAE//ssI=")</f>
        <v>#VALUE!</v>
      </c>
      <c r="GN2" t="e">
        <f>AND('WJP Rule of Law Index 2012-2013'!#REF!,"AAAAAE//ssM=")</f>
        <v>#REF!</v>
      </c>
      <c r="GO2" t="e">
        <f>AND('WJP Rule of Law Index 2012-2013'!C9,"AAAAAE//ssQ=")</f>
        <v>#VALUE!</v>
      </c>
      <c r="GP2" t="e">
        <f>AND('WJP Rule of Law Index 2012-2013'!#REF!,"AAAAAE//ssU=")</f>
        <v>#REF!</v>
      </c>
      <c r="GQ2" t="e">
        <f>AND('WJP Rule of Law Index 2012-2013'!D9,"AAAAAE//ssY=")</f>
        <v>#VALUE!</v>
      </c>
      <c r="GR2" t="e">
        <f>AND('WJP Rule of Law Index 2012-2013'!E9,"AAAAAE//ssc=")</f>
        <v>#VALUE!</v>
      </c>
      <c r="GS2" t="e">
        <f>AND('WJP Rule of Law Index 2012-2013'!F9,"AAAAAE//ssg=")</f>
        <v>#VALUE!</v>
      </c>
      <c r="GT2" t="e">
        <f>AND('WJP Rule of Law Index 2012-2013'!G9,"AAAAAE//ssk=")</f>
        <v>#VALUE!</v>
      </c>
      <c r="GU2" t="e">
        <f>AND('WJP Rule of Law Index 2012-2013'!H9,"AAAAAE//sso=")</f>
        <v>#VALUE!</v>
      </c>
      <c r="GV2" t="e">
        <f>AND('WJP Rule of Law Index 2012-2013'!I9,"AAAAAE//sss=")</f>
        <v>#VALUE!</v>
      </c>
      <c r="GW2" t="e">
        <f>AND('WJP Rule of Law Index 2012-2013'!J9,"AAAAAE//ssw=")</f>
        <v>#VALUE!</v>
      </c>
      <c r="GX2" t="e">
        <f>AND('WJP Rule of Law Index 2012-2013'!K9,"AAAAAE//ss0=")</f>
        <v>#VALUE!</v>
      </c>
      <c r="GY2" t="e">
        <f>AND('WJP Rule of Law Index 2012-2013'!#REF!,"AAAAAE//ss4=")</f>
        <v>#REF!</v>
      </c>
      <c r="GZ2" t="e">
        <f>AND('WJP Rule of Law Index 2012-2013'!#REF!,"AAAAAE//ss8=")</f>
        <v>#REF!</v>
      </c>
      <c r="HA2" t="e">
        <f>AND('WJP Rule of Law Index 2012-2013'!#REF!,"AAAAAE//stA=")</f>
        <v>#REF!</v>
      </c>
      <c r="HB2" t="e">
        <f>AND('WJP Rule of Law Index 2012-2013'!P9,"AAAAAE//stE=")</f>
        <v>#VALUE!</v>
      </c>
      <c r="HC2" t="e">
        <f>AND('WJP Rule of Law Index 2012-2013'!Q9,"AAAAAE//stI=")</f>
        <v>#VALUE!</v>
      </c>
      <c r="HD2" t="e">
        <f>AND('WJP Rule of Law Index 2012-2013'!R9,"AAAAAE//stM=")</f>
        <v>#VALUE!</v>
      </c>
      <c r="HE2" t="e">
        <f>AND('WJP Rule of Law Index 2012-2013'!S9,"AAAAAE//stQ=")</f>
        <v>#VALUE!</v>
      </c>
      <c r="HF2" t="e">
        <f>AND('WJP Rule of Law Index 2012-2013'!T9,"AAAAAE//stU=")</f>
        <v>#VALUE!</v>
      </c>
      <c r="HG2" t="e">
        <f>AND('WJP Rule of Law Index 2012-2013'!U9,"AAAAAE//stY=")</f>
        <v>#VALUE!</v>
      </c>
      <c r="HH2" t="e">
        <f>AND('WJP Rule of Law Index 2012-2013'!V9,"AAAAAE//stc=")</f>
        <v>#VALUE!</v>
      </c>
      <c r="HI2" t="e">
        <f>AND('WJP Rule of Law Index 2012-2013'!W9,"AAAAAE//stg=")</f>
        <v>#VALUE!</v>
      </c>
      <c r="HJ2" t="e">
        <f>AND('WJP Rule of Law Index 2012-2013'!X9,"AAAAAE//stk=")</f>
        <v>#VALUE!</v>
      </c>
      <c r="HK2" t="e">
        <f>AND('WJP Rule of Law Index 2012-2013'!Y9,"AAAAAE//sto=")</f>
        <v>#VALUE!</v>
      </c>
      <c r="HL2" t="e">
        <f>AND('WJP Rule of Law Index 2012-2013'!Z9,"AAAAAE//sts=")</f>
        <v>#VALUE!</v>
      </c>
      <c r="HM2" t="e">
        <f>AND('WJP Rule of Law Index 2012-2013'!AA9,"AAAAAE//stw=")</f>
        <v>#VALUE!</v>
      </c>
      <c r="HN2" t="e">
        <f>AND('WJP Rule of Law Index 2012-2013'!AB9,"AAAAAE//st0=")</f>
        <v>#VALUE!</v>
      </c>
      <c r="HO2" t="e">
        <f>AND('WJP Rule of Law Index 2012-2013'!AC9,"AAAAAE//st4=")</f>
        <v>#VALUE!</v>
      </c>
      <c r="HP2" t="e">
        <f>AND('WJP Rule of Law Index 2012-2013'!AD9,"AAAAAE//st8=")</f>
        <v>#VALUE!</v>
      </c>
      <c r="HQ2" t="e">
        <f>AND('WJP Rule of Law Index 2012-2013'!AE9,"AAAAAE//suA=")</f>
        <v>#VALUE!</v>
      </c>
      <c r="HR2" t="e">
        <f>AND('WJP Rule of Law Index 2012-2013'!AF9,"AAAAAE//suE=")</f>
        <v>#VALUE!</v>
      </c>
      <c r="HS2" t="e">
        <f>AND('WJP Rule of Law Index 2012-2013'!AG9,"AAAAAE//suI=")</f>
        <v>#VALUE!</v>
      </c>
      <c r="HT2" t="e">
        <f>AND('WJP Rule of Law Index 2012-2013'!#REF!,"AAAAAE//suM=")</f>
        <v>#REF!</v>
      </c>
      <c r="HU2" t="e">
        <f>AND('WJP Rule of Law Index 2012-2013'!#REF!,"AAAAAE//suQ=")</f>
        <v>#REF!</v>
      </c>
      <c r="HV2" t="e">
        <f>AND('WJP Rule of Law Index 2012-2013'!AH9,"AAAAAE//suU=")</f>
        <v>#VALUE!</v>
      </c>
      <c r="HW2" t="e">
        <f>AND('WJP Rule of Law Index 2012-2013'!AI9,"AAAAAE//suY=")</f>
        <v>#VALUE!</v>
      </c>
      <c r="HX2" t="e">
        <f>AND('WJP Rule of Law Index 2012-2013'!AJ9,"AAAAAE//suc=")</f>
        <v>#VALUE!</v>
      </c>
      <c r="HY2" t="e">
        <f>AND('WJP Rule of Law Index 2012-2013'!AK9,"AAAAAE//sug=")</f>
        <v>#VALUE!</v>
      </c>
      <c r="HZ2" t="e">
        <f>AND('WJP Rule of Law Index 2012-2013'!AL9,"AAAAAE//suk=")</f>
        <v>#VALUE!</v>
      </c>
      <c r="IA2" t="e">
        <f>AND('WJP Rule of Law Index 2012-2013'!AM9,"AAAAAE//suo=")</f>
        <v>#VALUE!</v>
      </c>
      <c r="IB2" t="e">
        <f>AND('WJP Rule of Law Index 2012-2013'!AN9,"AAAAAE//sus=")</f>
        <v>#VALUE!</v>
      </c>
      <c r="IC2" t="e">
        <f>AND('WJP Rule of Law Index 2012-2013'!AO9,"AAAAAE//suw=")</f>
        <v>#VALUE!</v>
      </c>
      <c r="ID2" t="e">
        <f>AND('WJP Rule of Law Index 2012-2013'!AP9,"AAAAAE//su0=")</f>
        <v>#VALUE!</v>
      </c>
      <c r="IE2" t="e">
        <f>AND('WJP Rule of Law Index 2012-2013'!AQ9,"AAAAAE//su4=")</f>
        <v>#VALUE!</v>
      </c>
      <c r="IF2" t="e">
        <f>AND('WJP Rule of Law Index 2012-2013'!AR9,"AAAAAE//su8=")</f>
        <v>#VALUE!</v>
      </c>
      <c r="IG2" t="e">
        <f>AND('WJP Rule of Law Index 2012-2013'!AS9,"AAAAAE//svA=")</f>
        <v>#VALUE!</v>
      </c>
      <c r="IH2" t="e">
        <f>AND('WJP Rule of Law Index 2012-2013'!AT9,"AAAAAE//svE=")</f>
        <v>#VALUE!</v>
      </c>
      <c r="II2">
        <f>IF('WJP Rule of Law Index 2012-2013'!10:10,"AAAAAE//svI=",0)</f>
        <v>0</v>
      </c>
      <c r="IJ2" t="e">
        <f>AND('WJP Rule of Law Index 2012-2013'!A10,"AAAAAE//svM=")</f>
        <v>#VALUE!</v>
      </c>
      <c r="IK2" t="e">
        <f>AND('WJP Rule of Law Index 2012-2013'!B10,"AAAAAE//svQ=")</f>
        <v>#VALUE!</v>
      </c>
      <c r="IL2" t="e">
        <f>AND('WJP Rule of Law Index 2012-2013'!#REF!,"AAAAAE//svU=")</f>
        <v>#REF!</v>
      </c>
      <c r="IM2" t="e">
        <f>AND('WJP Rule of Law Index 2012-2013'!C10,"AAAAAE//svY=")</f>
        <v>#VALUE!</v>
      </c>
      <c r="IN2" t="e">
        <f>AND('WJP Rule of Law Index 2012-2013'!#REF!,"AAAAAE//svc=")</f>
        <v>#REF!</v>
      </c>
      <c r="IO2" t="e">
        <f>AND('WJP Rule of Law Index 2012-2013'!D10,"AAAAAE//svg=")</f>
        <v>#VALUE!</v>
      </c>
      <c r="IP2" t="e">
        <f>AND('WJP Rule of Law Index 2012-2013'!E10,"AAAAAE//svk=")</f>
        <v>#VALUE!</v>
      </c>
      <c r="IQ2" t="e">
        <f>AND('WJP Rule of Law Index 2012-2013'!F10,"AAAAAE//svo=")</f>
        <v>#VALUE!</v>
      </c>
      <c r="IR2" t="e">
        <f>AND('WJP Rule of Law Index 2012-2013'!G10,"AAAAAE//svs=")</f>
        <v>#VALUE!</v>
      </c>
      <c r="IS2" t="e">
        <f>AND('WJP Rule of Law Index 2012-2013'!H10,"AAAAAE//svw=")</f>
        <v>#VALUE!</v>
      </c>
      <c r="IT2" t="e">
        <f>AND('WJP Rule of Law Index 2012-2013'!I10,"AAAAAE//sv0=")</f>
        <v>#VALUE!</v>
      </c>
      <c r="IU2" t="e">
        <f>AND('WJP Rule of Law Index 2012-2013'!J10,"AAAAAE//sv4=")</f>
        <v>#VALUE!</v>
      </c>
      <c r="IV2" t="e">
        <f>AND('WJP Rule of Law Index 2012-2013'!K10,"AAAAAE//sv8=")</f>
        <v>#VALUE!</v>
      </c>
    </row>
    <row r="3" spans="1:256" ht="15">
      <c r="A3" t="e">
        <f>AND('WJP Rule of Law Index 2012-2013'!#REF!,"AAAAAG/7/wA=")</f>
        <v>#REF!</v>
      </c>
      <c r="B3" t="e">
        <f>AND('WJP Rule of Law Index 2012-2013'!#REF!,"AAAAAG/7/wE=")</f>
        <v>#REF!</v>
      </c>
      <c r="C3" t="e">
        <f>AND('WJP Rule of Law Index 2012-2013'!#REF!,"AAAAAG/7/wI=")</f>
        <v>#REF!</v>
      </c>
      <c r="D3" t="e">
        <f>AND('WJP Rule of Law Index 2012-2013'!P10,"AAAAAG/7/wM=")</f>
        <v>#VALUE!</v>
      </c>
      <c r="E3" t="e">
        <f>AND('WJP Rule of Law Index 2012-2013'!Q10,"AAAAAG/7/wQ=")</f>
        <v>#VALUE!</v>
      </c>
      <c r="F3" t="e">
        <f>AND('WJP Rule of Law Index 2012-2013'!R10,"AAAAAG/7/wU=")</f>
        <v>#VALUE!</v>
      </c>
      <c r="G3" t="e">
        <f>AND('WJP Rule of Law Index 2012-2013'!S10,"AAAAAG/7/wY=")</f>
        <v>#VALUE!</v>
      </c>
      <c r="H3" t="e">
        <f>AND('WJP Rule of Law Index 2012-2013'!T10,"AAAAAG/7/wc=")</f>
        <v>#VALUE!</v>
      </c>
      <c r="I3" t="e">
        <f>AND('WJP Rule of Law Index 2012-2013'!U10,"AAAAAG/7/wg=")</f>
        <v>#VALUE!</v>
      </c>
      <c r="J3" t="e">
        <f>AND('WJP Rule of Law Index 2012-2013'!V10,"AAAAAG/7/wk=")</f>
        <v>#VALUE!</v>
      </c>
      <c r="K3" t="e">
        <f>AND('WJP Rule of Law Index 2012-2013'!W10,"AAAAAG/7/wo=")</f>
        <v>#VALUE!</v>
      </c>
      <c r="L3" t="e">
        <f>AND('WJP Rule of Law Index 2012-2013'!X10,"AAAAAG/7/ws=")</f>
        <v>#VALUE!</v>
      </c>
      <c r="M3" t="e">
        <f>AND('WJP Rule of Law Index 2012-2013'!Y10,"AAAAAG/7/ww=")</f>
        <v>#VALUE!</v>
      </c>
      <c r="N3" t="e">
        <f>AND('WJP Rule of Law Index 2012-2013'!Z10,"AAAAAG/7/w0=")</f>
        <v>#VALUE!</v>
      </c>
      <c r="O3" t="e">
        <f>AND('WJP Rule of Law Index 2012-2013'!AA10,"AAAAAG/7/w4=")</f>
        <v>#VALUE!</v>
      </c>
      <c r="P3" t="e">
        <f>AND('WJP Rule of Law Index 2012-2013'!AB10,"AAAAAG/7/w8=")</f>
        <v>#VALUE!</v>
      </c>
      <c r="Q3" t="e">
        <f>AND('WJP Rule of Law Index 2012-2013'!AC10,"AAAAAG/7/xA=")</f>
        <v>#VALUE!</v>
      </c>
      <c r="R3" t="e">
        <f>AND('WJP Rule of Law Index 2012-2013'!AD10,"AAAAAG/7/xE=")</f>
        <v>#VALUE!</v>
      </c>
      <c r="S3" t="e">
        <f>AND('WJP Rule of Law Index 2012-2013'!AE10,"AAAAAG/7/xI=")</f>
        <v>#VALUE!</v>
      </c>
      <c r="T3" t="e">
        <f>AND('WJP Rule of Law Index 2012-2013'!AF10,"AAAAAG/7/xM=")</f>
        <v>#VALUE!</v>
      </c>
      <c r="U3" t="e">
        <f>AND('WJP Rule of Law Index 2012-2013'!AG10,"AAAAAG/7/xQ=")</f>
        <v>#VALUE!</v>
      </c>
      <c r="V3" t="e">
        <f>AND('WJP Rule of Law Index 2012-2013'!#REF!,"AAAAAG/7/xU=")</f>
        <v>#REF!</v>
      </c>
      <c r="W3" t="e">
        <f>AND('WJP Rule of Law Index 2012-2013'!#REF!,"AAAAAG/7/xY=")</f>
        <v>#REF!</v>
      </c>
      <c r="X3" t="e">
        <f>AND('WJP Rule of Law Index 2012-2013'!AH10,"AAAAAG/7/xc=")</f>
        <v>#VALUE!</v>
      </c>
      <c r="Y3" t="e">
        <f>AND('WJP Rule of Law Index 2012-2013'!AI10,"AAAAAG/7/xg=")</f>
        <v>#VALUE!</v>
      </c>
      <c r="Z3" t="e">
        <f>AND('WJP Rule of Law Index 2012-2013'!AJ10,"AAAAAG/7/xk=")</f>
        <v>#VALUE!</v>
      </c>
      <c r="AA3" t="e">
        <f>AND('WJP Rule of Law Index 2012-2013'!AK10,"AAAAAG/7/xo=")</f>
        <v>#VALUE!</v>
      </c>
      <c r="AB3" t="e">
        <f>AND('WJP Rule of Law Index 2012-2013'!AL10,"AAAAAG/7/xs=")</f>
        <v>#VALUE!</v>
      </c>
      <c r="AC3" t="e">
        <f>AND('WJP Rule of Law Index 2012-2013'!AM10,"AAAAAG/7/xw=")</f>
        <v>#VALUE!</v>
      </c>
      <c r="AD3" t="e">
        <f>AND('WJP Rule of Law Index 2012-2013'!AN10,"AAAAAG/7/x0=")</f>
        <v>#VALUE!</v>
      </c>
      <c r="AE3" t="e">
        <f>AND('WJP Rule of Law Index 2012-2013'!AO10,"AAAAAG/7/x4=")</f>
        <v>#VALUE!</v>
      </c>
      <c r="AF3" t="e">
        <f>AND('WJP Rule of Law Index 2012-2013'!AP10,"AAAAAG/7/x8=")</f>
        <v>#VALUE!</v>
      </c>
      <c r="AG3" t="e">
        <f>AND('WJP Rule of Law Index 2012-2013'!AQ10,"AAAAAG/7/yA=")</f>
        <v>#VALUE!</v>
      </c>
      <c r="AH3" t="e">
        <f>AND('WJP Rule of Law Index 2012-2013'!AR10,"AAAAAG/7/yE=")</f>
        <v>#VALUE!</v>
      </c>
      <c r="AI3" t="e">
        <f>AND('WJP Rule of Law Index 2012-2013'!AS10,"AAAAAG/7/yI=")</f>
        <v>#VALUE!</v>
      </c>
      <c r="AJ3" t="e">
        <f>AND('WJP Rule of Law Index 2012-2013'!AT10,"AAAAAG/7/yM=")</f>
        <v>#VALUE!</v>
      </c>
      <c r="AK3" t="str">
        <f>IF('WJP Rule of Law Index 2012-2013'!11:11,"AAAAAG/7/yQ=",0)</f>
        <v>AAAAAG/7/yQ=</v>
      </c>
      <c r="AL3" t="e">
        <f>AND('WJP Rule of Law Index 2012-2013'!A11,"AAAAAG/7/yU=")</f>
        <v>#VALUE!</v>
      </c>
      <c r="AM3" t="e">
        <f>AND('WJP Rule of Law Index 2012-2013'!B11,"AAAAAG/7/yY=")</f>
        <v>#VALUE!</v>
      </c>
      <c r="AN3" t="e">
        <f>AND('WJP Rule of Law Index 2012-2013'!#REF!,"AAAAAG/7/yc=")</f>
        <v>#REF!</v>
      </c>
      <c r="AO3" t="e">
        <f>AND('WJP Rule of Law Index 2012-2013'!C11,"AAAAAG/7/yg=")</f>
        <v>#VALUE!</v>
      </c>
      <c r="AP3" t="e">
        <f>AND('WJP Rule of Law Index 2012-2013'!#REF!,"AAAAAG/7/yk=")</f>
        <v>#REF!</v>
      </c>
      <c r="AQ3" t="e">
        <f>AND('WJP Rule of Law Index 2012-2013'!D11,"AAAAAG/7/yo=")</f>
        <v>#VALUE!</v>
      </c>
      <c r="AR3" t="e">
        <f>AND('WJP Rule of Law Index 2012-2013'!E11,"AAAAAG/7/ys=")</f>
        <v>#VALUE!</v>
      </c>
      <c r="AS3" t="e">
        <f>AND('WJP Rule of Law Index 2012-2013'!F11,"AAAAAG/7/yw=")</f>
        <v>#VALUE!</v>
      </c>
      <c r="AT3" t="e">
        <f>AND('WJP Rule of Law Index 2012-2013'!G11,"AAAAAG/7/y0=")</f>
        <v>#VALUE!</v>
      </c>
      <c r="AU3" t="e">
        <f>AND('WJP Rule of Law Index 2012-2013'!H11,"AAAAAG/7/y4=")</f>
        <v>#VALUE!</v>
      </c>
      <c r="AV3" t="e">
        <f>AND('WJP Rule of Law Index 2012-2013'!I11,"AAAAAG/7/y8=")</f>
        <v>#VALUE!</v>
      </c>
      <c r="AW3" t="e">
        <f>AND('WJP Rule of Law Index 2012-2013'!J11,"AAAAAG/7/zA=")</f>
        <v>#VALUE!</v>
      </c>
      <c r="AX3" t="e">
        <f>AND('WJP Rule of Law Index 2012-2013'!K11,"AAAAAG/7/zE=")</f>
        <v>#VALUE!</v>
      </c>
      <c r="AY3" t="e">
        <f>AND('WJP Rule of Law Index 2012-2013'!#REF!,"AAAAAG/7/zI=")</f>
        <v>#REF!</v>
      </c>
      <c r="AZ3" t="e">
        <f>AND('WJP Rule of Law Index 2012-2013'!#REF!,"AAAAAG/7/zM=")</f>
        <v>#REF!</v>
      </c>
      <c r="BA3" t="e">
        <f>AND('WJP Rule of Law Index 2012-2013'!#REF!,"AAAAAG/7/zQ=")</f>
        <v>#REF!</v>
      </c>
      <c r="BB3" t="e">
        <f>AND('WJP Rule of Law Index 2012-2013'!P11,"AAAAAG/7/zU=")</f>
        <v>#VALUE!</v>
      </c>
      <c r="BC3" t="e">
        <f>AND('WJP Rule of Law Index 2012-2013'!Q11,"AAAAAG/7/zY=")</f>
        <v>#VALUE!</v>
      </c>
      <c r="BD3" t="e">
        <f>AND('WJP Rule of Law Index 2012-2013'!R11,"AAAAAG/7/zc=")</f>
        <v>#VALUE!</v>
      </c>
      <c r="BE3" t="e">
        <f>AND('WJP Rule of Law Index 2012-2013'!S11,"AAAAAG/7/zg=")</f>
        <v>#VALUE!</v>
      </c>
      <c r="BF3" t="e">
        <f>AND('WJP Rule of Law Index 2012-2013'!T11,"AAAAAG/7/zk=")</f>
        <v>#VALUE!</v>
      </c>
      <c r="BG3" t="e">
        <f>AND('WJP Rule of Law Index 2012-2013'!U11,"AAAAAG/7/zo=")</f>
        <v>#VALUE!</v>
      </c>
      <c r="BH3" t="e">
        <f>AND('WJP Rule of Law Index 2012-2013'!V11,"AAAAAG/7/zs=")</f>
        <v>#VALUE!</v>
      </c>
      <c r="BI3" t="e">
        <f>AND('WJP Rule of Law Index 2012-2013'!W11,"AAAAAG/7/zw=")</f>
        <v>#VALUE!</v>
      </c>
      <c r="BJ3" t="e">
        <f>AND('WJP Rule of Law Index 2012-2013'!X11,"AAAAAG/7/z0=")</f>
        <v>#VALUE!</v>
      </c>
      <c r="BK3" t="e">
        <f>AND('WJP Rule of Law Index 2012-2013'!Y11,"AAAAAG/7/z4=")</f>
        <v>#VALUE!</v>
      </c>
      <c r="BL3" t="e">
        <f>AND('WJP Rule of Law Index 2012-2013'!Z11,"AAAAAG/7/z8=")</f>
        <v>#VALUE!</v>
      </c>
      <c r="BM3" t="e">
        <f>AND('WJP Rule of Law Index 2012-2013'!AA11,"AAAAAG/7/0A=")</f>
        <v>#VALUE!</v>
      </c>
      <c r="BN3" t="e">
        <f>AND('WJP Rule of Law Index 2012-2013'!AB11,"AAAAAG/7/0E=")</f>
        <v>#VALUE!</v>
      </c>
      <c r="BO3" t="e">
        <f>AND('WJP Rule of Law Index 2012-2013'!AC11,"AAAAAG/7/0I=")</f>
        <v>#VALUE!</v>
      </c>
      <c r="BP3" t="e">
        <f>AND('WJP Rule of Law Index 2012-2013'!AD11,"AAAAAG/7/0M=")</f>
        <v>#VALUE!</v>
      </c>
      <c r="BQ3" t="e">
        <f>AND('WJP Rule of Law Index 2012-2013'!AE11,"AAAAAG/7/0Q=")</f>
        <v>#VALUE!</v>
      </c>
      <c r="BR3" t="e">
        <f>AND('WJP Rule of Law Index 2012-2013'!AF11,"AAAAAG/7/0U=")</f>
        <v>#VALUE!</v>
      </c>
      <c r="BS3" t="e">
        <f>AND('WJP Rule of Law Index 2012-2013'!AG11,"AAAAAG/7/0Y=")</f>
        <v>#VALUE!</v>
      </c>
      <c r="BT3" t="e">
        <f>AND('WJP Rule of Law Index 2012-2013'!#REF!,"AAAAAG/7/0c=")</f>
        <v>#REF!</v>
      </c>
      <c r="BU3" t="e">
        <f>AND('WJP Rule of Law Index 2012-2013'!#REF!,"AAAAAG/7/0g=")</f>
        <v>#REF!</v>
      </c>
      <c r="BV3" t="e">
        <f>AND('WJP Rule of Law Index 2012-2013'!AH11,"AAAAAG/7/0k=")</f>
        <v>#VALUE!</v>
      </c>
      <c r="BW3" t="e">
        <f>AND('WJP Rule of Law Index 2012-2013'!AI11,"AAAAAG/7/0o=")</f>
        <v>#VALUE!</v>
      </c>
      <c r="BX3" t="e">
        <f>AND('WJP Rule of Law Index 2012-2013'!AJ11,"AAAAAG/7/0s=")</f>
        <v>#VALUE!</v>
      </c>
      <c r="BY3" t="e">
        <f>AND('WJP Rule of Law Index 2012-2013'!AK11,"AAAAAG/7/0w=")</f>
        <v>#VALUE!</v>
      </c>
      <c r="BZ3" t="e">
        <f>AND('WJP Rule of Law Index 2012-2013'!AL11,"AAAAAG/7/00=")</f>
        <v>#VALUE!</v>
      </c>
      <c r="CA3" t="e">
        <f>AND('WJP Rule of Law Index 2012-2013'!AM11,"AAAAAG/7/04=")</f>
        <v>#VALUE!</v>
      </c>
      <c r="CB3" t="e">
        <f>AND('WJP Rule of Law Index 2012-2013'!AN11,"AAAAAG/7/08=")</f>
        <v>#VALUE!</v>
      </c>
      <c r="CC3" t="e">
        <f>AND('WJP Rule of Law Index 2012-2013'!AO11,"AAAAAG/7/1A=")</f>
        <v>#VALUE!</v>
      </c>
      <c r="CD3" t="e">
        <f>AND('WJP Rule of Law Index 2012-2013'!AP11,"AAAAAG/7/1E=")</f>
        <v>#VALUE!</v>
      </c>
      <c r="CE3" t="e">
        <f>AND('WJP Rule of Law Index 2012-2013'!AQ11,"AAAAAG/7/1I=")</f>
        <v>#VALUE!</v>
      </c>
      <c r="CF3" t="e">
        <f>AND('WJP Rule of Law Index 2012-2013'!AR11,"AAAAAG/7/1M=")</f>
        <v>#VALUE!</v>
      </c>
      <c r="CG3" t="e">
        <f>AND('WJP Rule of Law Index 2012-2013'!AS11,"AAAAAG/7/1Q=")</f>
        <v>#VALUE!</v>
      </c>
      <c r="CH3" t="e">
        <f>AND('WJP Rule of Law Index 2012-2013'!AT11,"AAAAAG/7/1U=")</f>
        <v>#VALUE!</v>
      </c>
      <c r="CI3">
        <f>IF('WJP Rule of Law Index 2012-2013'!12:12,"AAAAAG/7/1Y=",0)</f>
        <v>0</v>
      </c>
      <c r="CJ3" t="e">
        <f>AND('WJP Rule of Law Index 2012-2013'!A12,"AAAAAG/7/1c=")</f>
        <v>#VALUE!</v>
      </c>
      <c r="CK3" t="e">
        <f>AND('WJP Rule of Law Index 2012-2013'!B12,"AAAAAG/7/1g=")</f>
        <v>#VALUE!</v>
      </c>
      <c r="CL3" t="e">
        <f>AND('WJP Rule of Law Index 2012-2013'!#REF!,"AAAAAG/7/1k=")</f>
        <v>#REF!</v>
      </c>
      <c r="CM3" t="e">
        <f>AND('WJP Rule of Law Index 2012-2013'!C12,"AAAAAG/7/1o=")</f>
        <v>#VALUE!</v>
      </c>
      <c r="CN3" t="e">
        <f>AND('WJP Rule of Law Index 2012-2013'!#REF!,"AAAAAG/7/1s=")</f>
        <v>#REF!</v>
      </c>
      <c r="CO3" t="e">
        <f>AND('WJP Rule of Law Index 2012-2013'!D12,"AAAAAG/7/1w=")</f>
        <v>#VALUE!</v>
      </c>
      <c r="CP3" t="e">
        <f>AND('WJP Rule of Law Index 2012-2013'!E12,"AAAAAG/7/10=")</f>
        <v>#VALUE!</v>
      </c>
      <c r="CQ3" t="e">
        <f>AND('WJP Rule of Law Index 2012-2013'!F12,"AAAAAG/7/14=")</f>
        <v>#VALUE!</v>
      </c>
      <c r="CR3" t="e">
        <f>AND('WJP Rule of Law Index 2012-2013'!G12,"AAAAAG/7/18=")</f>
        <v>#VALUE!</v>
      </c>
      <c r="CS3" t="e">
        <f>AND('WJP Rule of Law Index 2012-2013'!H12,"AAAAAG/7/2A=")</f>
        <v>#VALUE!</v>
      </c>
      <c r="CT3" t="e">
        <f>AND('WJP Rule of Law Index 2012-2013'!I12,"AAAAAG/7/2E=")</f>
        <v>#VALUE!</v>
      </c>
      <c r="CU3" t="e">
        <f>AND('WJP Rule of Law Index 2012-2013'!J12,"AAAAAG/7/2I=")</f>
        <v>#VALUE!</v>
      </c>
      <c r="CV3" t="e">
        <f>AND('WJP Rule of Law Index 2012-2013'!K12,"AAAAAG/7/2M=")</f>
        <v>#VALUE!</v>
      </c>
      <c r="CW3" t="e">
        <f>AND('WJP Rule of Law Index 2012-2013'!#REF!,"AAAAAG/7/2Q=")</f>
        <v>#REF!</v>
      </c>
      <c r="CX3" t="e">
        <f>AND('WJP Rule of Law Index 2012-2013'!#REF!,"AAAAAG/7/2U=")</f>
        <v>#REF!</v>
      </c>
      <c r="CY3" t="e">
        <f>AND('WJP Rule of Law Index 2012-2013'!#REF!,"AAAAAG/7/2Y=")</f>
        <v>#REF!</v>
      </c>
      <c r="CZ3" t="e">
        <f>AND('WJP Rule of Law Index 2012-2013'!P12,"AAAAAG/7/2c=")</f>
        <v>#VALUE!</v>
      </c>
      <c r="DA3" t="e">
        <f>AND('WJP Rule of Law Index 2012-2013'!Q12,"AAAAAG/7/2g=")</f>
        <v>#VALUE!</v>
      </c>
      <c r="DB3" t="e">
        <f>AND('WJP Rule of Law Index 2012-2013'!R12,"AAAAAG/7/2k=")</f>
        <v>#VALUE!</v>
      </c>
      <c r="DC3" t="e">
        <f>AND('WJP Rule of Law Index 2012-2013'!S12,"AAAAAG/7/2o=")</f>
        <v>#VALUE!</v>
      </c>
      <c r="DD3" t="e">
        <f>AND('WJP Rule of Law Index 2012-2013'!T12,"AAAAAG/7/2s=")</f>
        <v>#VALUE!</v>
      </c>
      <c r="DE3" t="e">
        <f>AND('WJP Rule of Law Index 2012-2013'!U12,"AAAAAG/7/2w=")</f>
        <v>#VALUE!</v>
      </c>
      <c r="DF3" t="e">
        <f>AND('WJP Rule of Law Index 2012-2013'!V12,"AAAAAG/7/20=")</f>
        <v>#VALUE!</v>
      </c>
      <c r="DG3" t="e">
        <f>AND('WJP Rule of Law Index 2012-2013'!W12,"AAAAAG/7/24=")</f>
        <v>#VALUE!</v>
      </c>
      <c r="DH3" t="e">
        <f>AND('WJP Rule of Law Index 2012-2013'!X12,"AAAAAG/7/28=")</f>
        <v>#VALUE!</v>
      </c>
      <c r="DI3" t="e">
        <f>AND('WJP Rule of Law Index 2012-2013'!Y12,"AAAAAG/7/3A=")</f>
        <v>#VALUE!</v>
      </c>
      <c r="DJ3" t="e">
        <f>AND('WJP Rule of Law Index 2012-2013'!Z12,"AAAAAG/7/3E=")</f>
        <v>#VALUE!</v>
      </c>
      <c r="DK3" t="e">
        <f>AND('WJP Rule of Law Index 2012-2013'!AA12,"AAAAAG/7/3I=")</f>
        <v>#VALUE!</v>
      </c>
      <c r="DL3" t="e">
        <f>AND('WJP Rule of Law Index 2012-2013'!AB12,"AAAAAG/7/3M=")</f>
        <v>#VALUE!</v>
      </c>
      <c r="DM3" t="e">
        <f>AND('WJP Rule of Law Index 2012-2013'!AC12,"AAAAAG/7/3Q=")</f>
        <v>#VALUE!</v>
      </c>
      <c r="DN3" t="e">
        <f>AND('WJP Rule of Law Index 2012-2013'!AD12,"AAAAAG/7/3U=")</f>
        <v>#VALUE!</v>
      </c>
      <c r="DO3" t="e">
        <f>AND('WJP Rule of Law Index 2012-2013'!AE12,"AAAAAG/7/3Y=")</f>
        <v>#VALUE!</v>
      </c>
      <c r="DP3" t="e">
        <f>AND('WJP Rule of Law Index 2012-2013'!AF12,"AAAAAG/7/3c=")</f>
        <v>#VALUE!</v>
      </c>
      <c r="DQ3" t="e">
        <f>AND('WJP Rule of Law Index 2012-2013'!AG12,"AAAAAG/7/3g=")</f>
        <v>#VALUE!</v>
      </c>
      <c r="DR3" t="e">
        <f>AND('WJP Rule of Law Index 2012-2013'!#REF!,"AAAAAG/7/3k=")</f>
        <v>#REF!</v>
      </c>
      <c r="DS3" t="e">
        <f>AND('WJP Rule of Law Index 2012-2013'!#REF!,"AAAAAG/7/3o=")</f>
        <v>#REF!</v>
      </c>
      <c r="DT3" t="e">
        <f>AND('WJP Rule of Law Index 2012-2013'!AH12,"AAAAAG/7/3s=")</f>
        <v>#VALUE!</v>
      </c>
      <c r="DU3" t="e">
        <f>AND('WJP Rule of Law Index 2012-2013'!AI12,"AAAAAG/7/3w=")</f>
        <v>#VALUE!</v>
      </c>
      <c r="DV3" t="e">
        <f>AND('WJP Rule of Law Index 2012-2013'!AJ12,"AAAAAG/7/30=")</f>
        <v>#VALUE!</v>
      </c>
      <c r="DW3" t="e">
        <f>AND('WJP Rule of Law Index 2012-2013'!AK12,"AAAAAG/7/34=")</f>
        <v>#VALUE!</v>
      </c>
      <c r="DX3" t="e">
        <f>AND('WJP Rule of Law Index 2012-2013'!AL12,"AAAAAG/7/38=")</f>
        <v>#VALUE!</v>
      </c>
      <c r="DY3" t="e">
        <f>AND('WJP Rule of Law Index 2012-2013'!AM12,"AAAAAG/7/4A=")</f>
        <v>#VALUE!</v>
      </c>
      <c r="DZ3" t="e">
        <f>AND('WJP Rule of Law Index 2012-2013'!AN12,"AAAAAG/7/4E=")</f>
        <v>#VALUE!</v>
      </c>
      <c r="EA3" t="e">
        <f>AND('WJP Rule of Law Index 2012-2013'!AO12,"AAAAAG/7/4I=")</f>
        <v>#VALUE!</v>
      </c>
      <c r="EB3" t="e">
        <f>AND('WJP Rule of Law Index 2012-2013'!AP12,"AAAAAG/7/4M=")</f>
        <v>#VALUE!</v>
      </c>
      <c r="EC3" t="e">
        <f>AND('WJP Rule of Law Index 2012-2013'!AQ12,"AAAAAG/7/4Q=")</f>
        <v>#VALUE!</v>
      </c>
      <c r="ED3" t="e">
        <f>AND('WJP Rule of Law Index 2012-2013'!AR12,"AAAAAG/7/4U=")</f>
        <v>#VALUE!</v>
      </c>
      <c r="EE3" t="e">
        <f>AND('WJP Rule of Law Index 2012-2013'!AS12,"AAAAAG/7/4Y=")</f>
        <v>#VALUE!</v>
      </c>
      <c r="EF3" t="e">
        <f>AND('WJP Rule of Law Index 2012-2013'!AT12,"AAAAAG/7/4c=")</f>
        <v>#VALUE!</v>
      </c>
      <c r="EG3">
        <f>IF('WJP Rule of Law Index 2012-2013'!13:13,"AAAAAG/7/4g=",0)</f>
        <v>0</v>
      </c>
      <c r="EH3" t="e">
        <f>AND('WJP Rule of Law Index 2012-2013'!A13,"AAAAAG/7/4k=")</f>
        <v>#VALUE!</v>
      </c>
      <c r="EI3" t="e">
        <f>AND('WJP Rule of Law Index 2012-2013'!B13,"AAAAAG/7/4o=")</f>
        <v>#VALUE!</v>
      </c>
      <c r="EJ3" t="e">
        <f>AND('WJP Rule of Law Index 2012-2013'!#REF!,"AAAAAG/7/4s=")</f>
        <v>#REF!</v>
      </c>
      <c r="EK3" t="e">
        <f>AND('WJP Rule of Law Index 2012-2013'!C13,"AAAAAG/7/4w=")</f>
        <v>#VALUE!</v>
      </c>
      <c r="EL3" t="e">
        <f>AND('WJP Rule of Law Index 2012-2013'!#REF!,"AAAAAG/7/40=")</f>
        <v>#REF!</v>
      </c>
      <c r="EM3" t="e">
        <f>AND('WJP Rule of Law Index 2012-2013'!D13,"AAAAAG/7/44=")</f>
        <v>#VALUE!</v>
      </c>
      <c r="EN3" t="e">
        <f>AND('WJP Rule of Law Index 2012-2013'!E13,"AAAAAG/7/48=")</f>
        <v>#VALUE!</v>
      </c>
      <c r="EO3" t="e">
        <f>AND('WJP Rule of Law Index 2012-2013'!F13,"AAAAAG/7/5A=")</f>
        <v>#VALUE!</v>
      </c>
      <c r="EP3" t="e">
        <f>AND('WJP Rule of Law Index 2012-2013'!G13,"AAAAAG/7/5E=")</f>
        <v>#VALUE!</v>
      </c>
      <c r="EQ3" t="e">
        <f>AND('WJP Rule of Law Index 2012-2013'!H13,"AAAAAG/7/5I=")</f>
        <v>#VALUE!</v>
      </c>
      <c r="ER3" t="e">
        <f>AND('WJP Rule of Law Index 2012-2013'!I13,"AAAAAG/7/5M=")</f>
        <v>#VALUE!</v>
      </c>
      <c r="ES3" t="e">
        <f>AND('WJP Rule of Law Index 2012-2013'!J13,"AAAAAG/7/5Q=")</f>
        <v>#VALUE!</v>
      </c>
      <c r="ET3" t="e">
        <f>AND('WJP Rule of Law Index 2012-2013'!K13,"AAAAAG/7/5U=")</f>
        <v>#VALUE!</v>
      </c>
      <c r="EU3" t="e">
        <f>AND('WJP Rule of Law Index 2012-2013'!#REF!,"AAAAAG/7/5Y=")</f>
        <v>#REF!</v>
      </c>
      <c r="EV3" t="e">
        <f>AND('WJP Rule of Law Index 2012-2013'!#REF!,"AAAAAG/7/5c=")</f>
        <v>#REF!</v>
      </c>
      <c r="EW3" t="e">
        <f>AND('WJP Rule of Law Index 2012-2013'!#REF!,"AAAAAG/7/5g=")</f>
        <v>#REF!</v>
      </c>
      <c r="EX3" t="e">
        <f>AND('WJP Rule of Law Index 2012-2013'!P13,"AAAAAG/7/5k=")</f>
        <v>#VALUE!</v>
      </c>
      <c r="EY3" t="e">
        <f>AND('WJP Rule of Law Index 2012-2013'!Q13,"AAAAAG/7/5o=")</f>
        <v>#VALUE!</v>
      </c>
      <c r="EZ3" t="e">
        <f>AND('WJP Rule of Law Index 2012-2013'!R13,"AAAAAG/7/5s=")</f>
        <v>#VALUE!</v>
      </c>
      <c r="FA3" t="e">
        <f>AND('WJP Rule of Law Index 2012-2013'!S13,"AAAAAG/7/5w=")</f>
        <v>#VALUE!</v>
      </c>
      <c r="FB3" t="e">
        <f>AND('WJP Rule of Law Index 2012-2013'!T13,"AAAAAG/7/50=")</f>
        <v>#VALUE!</v>
      </c>
      <c r="FC3" t="e">
        <f>AND('WJP Rule of Law Index 2012-2013'!U13,"AAAAAG/7/54=")</f>
        <v>#VALUE!</v>
      </c>
      <c r="FD3" t="e">
        <f>AND('WJP Rule of Law Index 2012-2013'!V13,"AAAAAG/7/58=")</f>
        <v>#VALUE!</v>
      </c>
      <c r="FE3" t="e">
        <f>AND('WJP Rule of Law Index 2012-2013'!W13,"AAAAAG/7/6A=")</f>
        <v>#VALUE!</v>
      </c>
      <c r="FF3" t="e">
        <f>AND('WJP Rule of Law Index 2012-2013'!X13,"AAAAAG/7/6E=")</f>
        <v>#VALUE!</v>
      </c>
      <c r="FG3" t="e">
        <f>AND('WJP Rule of Law Index 2012-2013'!Y13,"AAAAAG/7/6I=")</f>
        <v>#VALUE!</v>
      </c>
      <c r="FH3" t="e">
        <f>AND('WJP Rule of Law Index 2012-2013'!Z13,"AAAAAG/7/6M=")</f>
        <v>#VALUE!</v>
      </c>
      <c r="FI3" t="e">
        <f>AND('WJP Rule of Law Index 2012-2013'!AA13,"AAAAAG/7/6Q=")</f>
        <v>#VALUE!</v>
      </c>
      <c r="FJ3" t="e">
        <f>AND('WJP Rule of Law Index 2012-2013'!AB13,"AAAAAG/7/6U=")</f>
        <v>#VALUE!</v>
      </c>
      <c r="FK3" t="e">
        <f>AND('WJP Rule of Law Index 2012-2013'!AC13,"AAAAAG/7/6Y=")</f>
        <v>#VALUE!</v>
      </c>
      <c r="FL3" t="e">
        <f>AND('WJP Rule of Law Index 2012-2013'!AD13,"AAAAAG/7/6c=")</f>
        <v>#VALUE!</v>
      </c>
      <c r="FM3" t="e">
        <f>AND('WJP Rule of Law Index 2012-2013'!AE13,"AAAAAG/7/6g=")</f>
        <v>#VALUE!</v>
      </c>
      <c r="FN3" t="e">
        <f>AND('WJP Rule of Law Index 2012-2013'!AF13,"AAAAAG/7/6k=")</f>
        <v>#VALUE!</v>
      </c>
      <c r="FO3" t="e">
        <f>AND('WJP Rule of Law Index 2012-2013'!AG13,"AAAAAG/7/6o=")</f>
        <v>#VALUE!</v>
      </c>
      <c r="FP3" t="e">
        <f>AND('WJP Rule of Law Index 2012-2013'!#REF!,"AAAAAG/7/6s=")</f>
        <v>#REF!</v>
      </c>
      <c r="FQ3" t="e">
        <f>AND('WJP Rule of Law Index 2012-2013'!#REF!,"AAAAAG/7/6w=")</f>
        <v>#REF!</v>
      </c>
      <c r="FR3" t="e">
        <f>AND('WJP Rule of Law Index 2012-2013'!AH13,"AAAAAG/7/60=")</f>
        <v>#VALUE!</v>
      </c>
      <c r="FS3" t="e">
        <f>AND('WJP Rule of Law Index 2012-2013'!AI13,"AAAAAG/7/64=")</f>
        <v>#VALUE!</v>
      </c>
      <c r="FT3" t="e">
        <f>AND('WJP Rule of Law Index 2012-2013'!AJ13,"AAAAAG/7/68=")</f>
        <v>#VALUE!</v>
      </c>
      <c r="FU3" t="e">
        <f>AND('WJP Rule of Law Index 2012-2013'!AK13,"AAAAAG/7/7A=")</f>
        <v>#VALUE!</v>
      </c>
      <c r="FV3" t="e">
        <f>AND('WJP Rule of Law Index 2012-2013'!AL13,"AAAAAG/7/7E=")</f>
        <v>#VALUE!</v>
      </c>
      <c r="FW3" t="e">
        <f>AND('WJP Rule of Law Index 2012-2013'!AM13,"AAAAAG/7/7I=")</f>
        <v>#VALUE!</v>
      </c>
      <c r="FX3" t="e">
        <f>AND('WJP Rule of Law Index 2012-2013'!AN13,"AAAAAG/7/7M=")</f>
        <v>#VALUE!</v>
      </c>
      <c r="FY3" t="e">
        <f>AND('WJP Rule of Law Index 2012-2013'!AO13,"AAAAAG/7/7Q=")</f>
        <v>#VALUE!</v>
      </c>
      <c r="FZ3" t="e">
        <f>AND('WJP Rule of Law Index 2012-2013'!AP13,"AAAAAG/7/7U=")</f>
        <v>#VALUE!</v>
      </c>
      <c r="GA3" t="e">
        <f>AND('WJP Rule of Law Index 2012-2013'!AQ13,"AAAAAG/7/7Y=")</f>
        <v>#VALUE!</v>
      </c>
      <c r="GB3" t="e">
        <f>AND('WJP Rule of Law Index 2012-2013'!AR13,"AAAAAG/7/7c=")</f>
        <v>#VALUE!</v>
      </c>
      <c r="GC3" t="e">
        <f>AND('WJP Rule of Law Index 2012-2013'!AS13,"AAAAAG/7/7g=")</f>
        <v>#VALUE!</v>
      </c>
      <c r="GD3" t="e">
        <f>AND('WJP Rule of Law Index 2012-2013'!AT13,"AAAAAG/7/7k=")</f>
        <v>#VALUE!</v>
      </c>
      <c r="GE3">
        <f>IF('WJP Rule of Law Index 2012-2013'!14:14,"AAAAAG/7/7o=",0)</f>
        <v>0</v>
      </c>
      <c r="GF3" t="e">
        <f>AND('WJP Rule of Law Index 2012-2013'!A14,"AAAAAG/7/7s=")</f>
        <v>#VALUE!</v>
      </c>
      <c r="GG3" t="e">
        <f>AND('WJP Rule of Law Index 2012-2013'!B14,"AAAAAG/7/7w=")</f>
        <v>#VALUE!</v>
      </c>
      <c r="GH3" t="e">
        <f>AND('WJP Rule of Law Index 2012-2013'!#REF!,"AAAAAG/7/70=")</f>
        <v>#REF!</v>
      </c>
      <c r="GI3" t="e">
        <f>AND('WJP Rule of Law Index 2012-2013'!C14,"AAAAAG/7/74=")</f>
        <v>#VALUE!</v>
      </c>
      <c r="GJ3" t="e">
        <f>AND('WJP Rule of Law Index 2012-2013'!#REF!,"AAAAAG/7/78=")</f>
        <v>#REF!</v>
      </c>
      <c r="GK3" t="e">
        <f>AND('WJP Rule of Law Index 2012-2013'!D14,"AAAAAG/7/8A=")</f>
        <v>#VALUE!</v>
      </c>
      <c r="GL3" t="e">
        <f>AND('WJP Rule of Law Index 2012-2013'!E14,"AAAAAG/7/8E=")</f>
        <v>#VALUE!</v>
      </c>
      <c r="GM3" t="e">
        <f>AND('WJP Rule of Law Index 2012-2013'!F14,"AAAAAG/7/8I=")</f>
        <v>#VALUE!</v>
      </c>
      <c r="GN3" t="e">
        <f>AND('WJP Rule of Law Index 2012-2013'!G14,"AAAAAG/7/8M=")</f>
        <v>#VALUE!</v>
      </c>
      <c r="GO3" t="e">
        <f>AND('WJP Rule of Law Index 2012-2013'!H14,"AAAAAG/7/8Q=")</f>
        <v>#VALUE!</v>
      </c>
      <c r="GP3" t="e">
        <f>AND('WJP Rule of Law Index 2012-2013'!I14,"AAAAAG/7/8U=")</f>
        <v>#VALUE!</v>
      </c>
      <c r="GQ3" t="e">
        <f>AND('WJP Rule of Law Index 2012-2013'!J14,"AAAAAG/7/8Y=")</f>
        <v>#VALUE!</v>
      </c>
      <c r="GR3" t="e">
        <f>AND('WJP Rule of Law Index 2012-2013'!K14,"AAAAAG/7/8c=")</f>
        <v>#VALUE!</v>
      </c>
      <c r="GS3" t="e">
        <f>AND('WJP Rule of Law Index 2012-2013'!#REF!,"AAAAAG/7/8g=")</f>
        <v>#REF!</v>
      </c>
      <c r="GT3" t="e">
        <f>AND('WJP Rule of Law Index 2012-2013'!#REF!,"AAAAAG/7/8k=")</f>
        <v>#REF!</v>
      </c>
      <c r="GU3" t="e">
        <f>AND('WJP Rule of Law Index 2012-2013'!#REF!,"AAAAAG/7/8o=")</f>
        <v>#REF!</v>
      </c>
      <c r="GV3" t="e">
        <f>AND('WJP Rule of Law Index 2012-2013'!P14,"AAAAAG/7/8s=")</f>
        <v>#VALUE!</v>
      </c>
      <c r="GW3" t="e">
        <f>AND('WJP Rule of Law Index 2012-2013'!Q14,"AAAAAG/7/8w=")</f>
        <v>#VALUE!</v>
      </c>
      <c r="GX3" t="e">
        <f>AND('WJP Rule of Law Index 2012-2013'!R14,"AAAAAG/7/80=")</f>
        <v>#VALUE!</v>
      </c>
      <c r="GY3" t="e">
        <f>AND('WJP Rule of Law Index 2012-2013'!S14,"AAAAAG/7/84=")</f>
        <v>#VALUE!</v>
      </c>
      <c r="GZ3" t="e">
        <f>AND('WJP Rule of Law Index 2012-2013'!T14,"AAAAAG/7/88=")</f>
        <v>#VALUE!</v>
      </c>
      <c r="HA3" t="e">
        <f>AND('WJP Rule of Law Index 2012-2013'!U14,"AAAAAG/7/9A=")</f>
        <v>#VALUE!</v>
      </c>
      <c r="HB3" t="e">
        <f>AND('WJP Rule of Law Index 2012-2013'!V14,"AAAAAG/7/9E=")</f>
        <v>#VALUE!</v>
      </c>
      <c r="HC3" t="e">
        <f>AND('WJP Rule of Law Index 2012-2013'!W14,"AAAAAG/7/9I=")</f>
        <v>#VALUE!</v>
      </c>
      <c r="HD3" t="e">
        <f>AND('WJP Rule of Law Index 2012-2013'!X14,"AAAAAG/7/9M=")</f>
        <v>#VALUE!</v>
      </c>
      <c r="HE3" t="e">
        <f>AND('WJP Rule of Law Index 2012-2013'!Y14,"AAAAAG/7/9Q=")</f>
        <v>#VALUE!</v>
      </c>
      <c r="HF3" t="e">
        <f>AND('WJP Rule of Law Index 2012-2013'!Z14,"AAAAAG/7/9U=")</f>
        <v>#VALUE!</v>
      </c>
      <c r="HG3" t="e">
        <f>AND('WJP Rule of Law Index 2012-2013'!AA14,"AAAAAG/7/9Y=")</f>
        <v>#VALUE!</v>
      </c>
      <c r="HH3" t="e">
        <f>AND('WJP Rule of Law Index 2012-2013'!AB14,"AAAAAG/7/9c=")</f>
        <v>#VALUE!</v>
      </c>
      <c r="HI3" t="e">
        <f>AND('WJP Rule of Law Index 2012-2013'!AC14,"AAAAAG/7/9g=")</f>
        <v>#VALUE!</v>
      </c>
      <c r="HJ3" t="e">
        <f>AND('WJP Rule of Law Index 2012-2013'!AD14,"AAAAAG/7/9k=")</f>
        <v>#VALUE!</v>
      </c>
      <c r="HK3" t="e">
        <f>AND('WJP Rule of Law Index 2012-2013'!AE14,"AAAAAG/7/9o=")</f>
        <v>#VALUE!</v>
      </c>
      <c r="HL3" t="e">
        <f>AND('WJP Rule of Law Index 2012-2013'!AF14,"AAAAAG/7/9s=")</f>
        <v>#VALUE!</v>
      </c>
      <c r="HM3" t="e">
        <f>AND('WJP Rule of Law Index 2012-2013'!AG14,"AAAAAG/7/9w=")</f>
        <v>#VALUE!</v>
      </c>
      <c r="HN3" t="e">
        <f>AND('WJP Rule of Law Index 2012-2013'!#REF!,"AAAAAG/7/90=")</f>
        <v>#REF!</v>
      </c>
      <c r="HO3" t="e">
        <f>AND('WJP Rule of Law Index 2012-2013'!#REF!,"AAAAAG/7/94=")</f>
        <v>#REF!</v>
      </c>
      <c r="HP3" t="e">
        <f>AND('WJP Rule of Law Index 2012-2013'!AH14,"AAAAAG/7/98=")</f>
        <v>#VALUE!</v>
      </c>
      <c r="HQ3" t="e">
        <f>AND('WJP Rule of Law Index 2012-2013'!AI14,"AAAAAG/7/+A=")</f>
        <v>#VALUE!</v>
      </c>
      <c r="HR3" t="e">
        <f>AND('WJP Rule of Law Index 2012-2013'!AJ14,"AAAAAG/7/+E=")</f>
        <v>#VALUE!</v>
      </c>
      <c r="HS3" t="e">
        <f>AND('WJP Rule of Law Index 2012-2013'!AK14,"AAAAAG/7/+I=")</f>
        <v>#VALUE!</v>
      </c>
      <c r="HT3" t="e">
        <f>AND('WJP Rule of Law Index 2012-2013'!AL14,"AAAAAG/7/+M=")</f>
        <v>#VALUE!</v>
      </c>
      <c r="HU3" t="e">
        <f>AND('WJP Rule of Law Index 2012-2013'!AM14,"AAAAAG/7/+Q=")</f>
        <v>#VALUE!</v>
      </c>
      <c r="HV3" t="e">
        <f>AND('WJP Rule of Law Index 2012-2013'!AN14,"AAAAAG/7/+U=")</f>
        <v>#VALUE!</v>
      </c>
      <c r="HW3" t="e">
        <f>AND('WJP Rule of Law Index 2012-2013'!AO14,"AAAAAG/7/+Y=")</f>
        <v>#VALUE!</v>
      </c>
      <c r="HX3" t="e">
        <f>AND('WJP Rule of Law Index 2012-2013'!AP14,"AAAAAG/7/+c=")</f>
        <v>#VALUE!</v>
      </c>
      <c r="HY3" t="e">
        <f>AND('WJP Rule of Law Index 2012-2013'!AQ14,"AAAAAG/7/+g=")</f>
        <v>#VALUE!</v>
      </c>
      <c r="HZ3" t="e">
        <f>AND('WJP Rule of Law Index 2012-2013'!AR14,"AAAAAG/7/+k=")</f>
        <v>#VALUE!</v>
      </c>
      <c r="IA3" t="e">
        <f>AND('WJP Rule of Law Index 2012-2013'!AS14,"AAAAAG/7/+o=")</f>
        <v>#VALUE!</v>
      </c>
      <c r="IB3" t="e">
        <f>AND('WJP Rule of Law Index 2012-2013'!AT14,"AAAAAG/7/+s=")</f>
        <v>#VALUE!</v>
      </c>
      <c r="IC3">
        <f>IF('WJP Rule of Law Index 2012-2013'!15:15,"AAAAAG/7/+w=",0)</f>
        <v>0</v>
      </c>
      <c r="ID3" t="e">
        <f>AND('WJP Rule of Law Index 2012-2013'!A15,"AAAAAG/7/+0=")</f>
        <v>#VALUE!</v>
      </c>
      <c r="IE3" t="e">
        <f>AND('WJP Rule of Law Index 2012-2013'!B15,"AAAAAG/7/+4=")</f>
        <v>#VALUE!</v>
      </c>
      <c r="IF3" t="e">
        <f>AND('WJP Rule of Law Index 2012-2013'!#REF!,"AAAAAG/7/+8=")</f>
        <v>#REF!</v>
      </c>
      <c r="IG3" t="e">
        <f>AND('WJP Rule of Law Index 2012-2013'!C15,"AAAAAG/7//A=")</f>
        <v>#VALUE!</v>
      </c>
      <c r="IH3" t="e">
        <f>AND('WJP Rule of Law Index 2012-2013'!#REF!,"AAAAAG/7//E=")</f>
        <v>#REF!</v>
      </c>
      <c r="II3" t="e">
        <f>AND('WJP Rule of Law Index 2012-2013'!D15,"AAAAAG/7//I=")</f>
        <v>#VALUE!</v>
      </c>
      <c r="IJ3" t="e">
        <f>AND('WJP Rule of Law Index 2012-2013'!E15,"AAAAAG/7//M=")</f>
        <v>#VALUE!</v>
      </c>
      <c r="IK3" t="e">
        <f>AND('WJP Rule of Law Index 2012-2013'!F15,"AAAAAG/7//Q=")</f>
        <v>#VALUE!</v>
      </c>
      <c r="IL3" t="e">
        <f>AND('WJP Rule of Law Index 2012-2013'!G15,"AAAAAG/7//U=")</f>
        <v>#VALUE!</v>
      </c>
      <c r="IM3" t="e">
        <f>AND('WJP Rule of Law Index 2012-2013'!H15,"AAAAAG/7//Y=")</f>
        <v>#VALUE!</v>
      </c>
      <c r="IN3" t="e">
        <f>AND('WJP Rule of Law Index 2012-2013'!I15,"AAAAAG/7//c=")</f>
        <v>#VALUE!</v>
      </c>
      <c r="IO3" t="e">
        <f>AND('WJP Rule of Law Index 2012-2013'!J15,"AAAAAG/7//g=")</f>
        <v>#VALUE!</v>
      </c>
      <c r="IP3" t="e">
        <f>AND('WJP Rule of Law Index 2012-2013'!K15,"AAAAAG/7//k=")</f>
        <v>#VALUE!</v>
      </c>
      <c r="IQ3" t="e">
        <f>AND('WJP Rule of Law Index 2012-2013'!#REF!,"AAAAAG/7//o=")</f>
        <v>#REF!</v>
      </c>
      <c r="IR3" t="e">
        <f>AND('WJP Rule of Law Index 2012-2013'!#REF!,"AAAAAG/7//s=")</f>
        <v>#REF!</v>
      </c>
      <c r="IS3" t="e">
        <f>AND('WJP Rule of Law Index 2012-2013'!#REF!,"AAAAAG/7//w=")</f>
        <v>#REF!</v>
      </c>
      <c r="IT3" t="e">
        <f>AND('WJP Rule of Law Index 2012-2013'!P15,"AAAAAG/7//0=")</f>
        <v>#VALUE!</v>
      </c>
      <c r="IU3" t="e">
        <f>AND('WJP Rule of Law Index 2012-2013'!Q15,"AAAAAG/7//4=")</f>
        <v>#VALUE!</v>
      </c>
      <c r="IV3" t="e">
        <f>AND('WJP Rule of Law Index 2012-2013'!R15,"AAAAAG/7//8=")</f>
        <v>#VALUE!</v>
      </c>
    </row>
    <row r="4" spans="1:256" ht="15">
      <c r="A4" t="e">
        <f>AND('WJP Rule of Law Index 2012-2013'!S15,"AAAAAG7wuAA=")</f>
        <v>#VALUE!</v>
      </c>
      <c r="B4" t="e">
        <f>AND('WJP Rule of Law Index 2012-2013'!T15,"AAAAAG7wuAE=")</f>
        <v>#VALUE!</v>
      </c>
      <c r="C4" t="e">
        <f>AND('WJP Rule of Law Index 2012-2013'!U15,"AAAAAG7wuAI=")</f>
        <v>#VALUE!</v>
      </c>
      <c r="D4" t="e">
        <f>AND('WJP Rule of Law Index 2012-2013'!V15,"AAAAAG7wuAM=")</f>
        <v>#VALUE!</v>
      </c>
      <c r="E4" t="e">
        <f>AND('WJP Rule of Law Index 2012-2013'!W15,"AAAAAG7wuAQ=")</f>
        <v>#VALUE!</v>
      </c>
      <c r="F4" t="e">
        <f>AND('WJP Rule of Law Index 2012-2013'!X15,"AAAAAG7wuAU=")</f>
        <v>#VALUE!</v>
      </c>
      <c r="G4" t="e">
        <f>AND('WJP Rule of Law Index 2012-2013'!Y15,"AAAAAG7wuAY=")</f>
        <v>#VALUE!</v>
      </c>
      <c r="H4" t="e">
        <f>AND('WJP Rule of Law Index 2012-2013'!Z15,"AAAAAG7wuAc=")</f>
        <v>#VALUE!</v>
      </c>
      <c r="I4" t="e">
        <f>AND('WJP Rule of Law Index 2012-2013'!AA15,"AAAAAG7wuAg=")</f>
        <v>#VALUE!</v>
      </c>
      <c r="J4" t="e">
        <f>AND('WJP Rule of Law Index 2012-2013'!AB15,"AAAAAG7wuAk=")</f>
        <v>#VALUE!</v>
      </c>
      <c r="K4" t="e">
        <f>AND('WJP Rule of Law Index 2012-2013'!AC15,"AAAAAG7wuAo=")</f>
        <v>#VALUE!</v>
      </c>
      <c r="L4" t="e">
        <f>AND('WJP Rule of Law Index 2012-2013'!AD15,"AAAAAG7wuAs=")</f>
        <v>#VALUE!</v>
      </c>
      <c r="M4" t="e">
        <f>AND('WJP Rule of Law Index 2012-2013'!AE15,"AAAAAG7wuAw=")</f>
        <v>#VALUE!</v>
      </c>
      <c r="N4" t="e">
        <f>AND('WJP Rule of Law Index 2012-2013'!AF15,"AAAAAG7wuA0=")</f>
        <v>#VALUE!</v>
      </c>
      <c r="O4" t="e">
        <f>AND('WJP Rule of Law Index 2012-2013'!AG15,"AAAAAG7wuA4=")</f>
        <v>#VALUE!</v>
      </c>
      <c r="P4" t="e">
        <f>AND('WJP Rule of Law Index 2012-2013'!#REF!,"AAAAAG7wuA8=")</f>
        <v>#REF!</v>
      </c>
      <c r="Q4" t="e">
        <f>AND('WJP Rule of Law Index 2012-2013'!#REF!,"AAAAAG7wuBA=")</f>
        <v>#REF!</v>
      </c>
      <c r="R4" t="e">
        <f>AND('WJP Rule of Law Index 2012-2013'!AH15,"AAAAAG7wuBE=")</f>
        <v>#VALUE!</v>
      </c>
      <c r="S4" t="e">
        <f>AND('WJP Rule of Law Index 2012-2013'!AI15,"AAAAAG7wuBI=")</f>
        <v>#VALUE!</v>
      </c>
      <c r="T4" t="e">
        <f>AND('WJP Rule of Law Index 2012-2013'!AJ15,"AAAAAG7wuBM=")</f>
        <v>#VALUE!</v>
      </c>
      <c r="U4" t="e">
        <f>AND('WJP Rule of Law Index 2012-2013'!AK15,"AAAAAG7wuBQ=")</f>
        <v>#VALUE!</v>
      </c>
      <c r="V4" t="e">
        <f>AND('WJP Rule of Law Index 2012-2013'!AL15,"AAAAAG7wuBU=")</f>
        <v>#VALUE!</v>
      </c>
      <c r="W4" t="e">
        <f>AND('WJP Rule of Law Index 2012-2013'!AM15,"AAAAAG7wuBY=")</f>
        <v>#VALUE!</v>
      </c>
      <c r="X4" t="e">
        <f>AND('WJP Rule of Law Index 2012-2013'!AN15,"AAAAAG7wuBc=")</f>
        <v>#VALUE!</v>
      </c>
      <c r="Y4" t="e">
        <f>AND('WJP Rule of Law Index 2012-2013'!AO15,"AAAAAG7wuBg=")</f>
        <v>#VALUE!</v>
      </c>
      <c r="Z4" t="e">
        <f>AND('WJP Rule of Law Index 2012-2013'!AP15,"AAAAAG7wuBk=")</f>
        <v>#VALUE!</v>
      </c>
      <c r="AA4" t="e">
        <f>AND('WJP Rule of Law Index 2012-2013'!AQ15,"AAAAAG7wuBo=")</f>
        <v>#VALUE!</v>
      </c>
      <c r="AB4" t="e">
        <f>AND('WJP Rule of Law Index 2012-2013'!AR15,"AAAAAG7wuBs=")</f>
        <v>#VALUE!</v>
      </c>
      <c r="AC4" t="e">
        <f>AND('WJP Rule of Law Index 2012-2013'!AS15,"AAAAAG7wuBw=")</f>
        <v>#VALUE!</v>
      </c>
      <c r="AD4" t="e">
        <f>AND('WJP Rule of Law Index 2012-2013'!AT15,"AAAAAG7wuB0=")</f>
        <v>#VALUE!</v>
      </c>
      <c r="AE4" t="str">
        <f>IF('WJP Rule of Law Index 2012-2013'!16:16,"AAAAAG7wuB4=",0)</f>
        <v>AAAAAG7wuB4=</v>
      </c>
      <c r="AF4" t="e">
        <f>AND('WJP Rule of Law Index 2012-2013'!A16,"AAAAAG7wuB8=")</f>
        <v>#VALUE!</v>
      </c>
      <c r="AG4" t="e">
        <f>AND('WJP Rule of Law Index 2012-2013'!B16,"AAAAAG7wuCA=")</f>
        <v>#VALUE!</v>
      </c>
      <c r="AH4" t="e">
        <f>AND('WJP Rule of Law Index 2012-2013'!#REF!,"AAAAAG7wuCE=")</f>
        <v>#REF!</v>
      </c>
      <c r="AI4" t="e">
        <f>AND('WJP Rule of Law Index 2012-2013'!C16,"AAAAAG7wuCI=")</f>
        <v>#VALUE!</v>
      </c>
      <c r="AJ4" t="e">
        <f>AND('WJP Rule of Law Index 2012-2013'!#REF!,"AAAAAG7wuCM=")</f>
        <v>#REF!</v>
      </c>
      <c r="AK4" t="e">
        <f>AND('WJP Rule of Law Index 2012-2013'!D16,"AAAAAG7wuCQ=")</f>
        <v>#VALUE!</v>
      </c>
      <c r="AL4" t="e">
        <f>AND('WJP Rule of Law Index 2012-2013'!E16,"AAAAAG7wuCU=")</f>
        <v>#VALUE!</v>
      </c>
      <c r="AM4" t="e">
        <f>AND('WJP Rule of Law Index 2012-2013'!F16,"AAAAAG7wuCY=")</f>
        <v>#VALUE!</v>
      </c>
      <c r="AN4" t="e">
        <f>AND('WJP Rule of Law Index 2012-2013'!G16,"AAAAAG7wuCc=")</f>
        <v>#VALUE!</v>
      </c>
      <c r="AO4" t="e">
        <f>AND('WJP Rule of Law Index 2012-2013'!H16,"AAAAAG7wuCg=")</f>
        <v>#VALUE!</v>
      </c>
      <c r="AP4" t="e">
        <f>AND('WJP Rule of Law Index 2012-2013'!I16,"AAAAAG7wuCk=")</f>
        <v>#VALUE!</v>
      </c>
      <c r="AQ4" t="e">
        <f>AND('WJP Rule of Law Index 2012-2013'!J16,"AAAAAG7wuCo=")</f>
        <v>#VALUE!</v>
      </c>
      <c r="AR4" t="e">
        <f>AND('WJP Rule of Law Index 2012-2013'!K16,"AAAAAG7wuCs=")</f>
        <v>#VALUE!</v>
      </c>
      <c r="AS4" t="e">
        <f>AND('WJP Rule of Law Index 2012-2013'!#REF!,"AAAAAG7wuCw=")</f>
        <v>#REF!</v>
      </c>
      <c r="AT4" t="e">
        <f>AND('WJP Rule of Law Index 2012-2013'!#REF!,"AAAAAG7wuC0=")</f>
        <v>#REF!</v>
      </c>
      <c r="AU4" t="e">
        <f>AND('WJP Rule of Law Index 2012-2013'!#REF!,"AAAAAG7wuC4=")</f>
        <v>#REF!</v>
      </c>
      <c r="AV4" t="e">
        <f>AND('WJP Rule of Law Index 2012-2013'!P16,"AAAAAG7wuC8=")</f>
        <v>#VALUE!</v>
      </c>
      <c r="AW4" t="e">
        <f>AND('WJP Rule of Law Index 2012-2013'!Q16,"AAAAAG7wuDA=")</f>
        <v>#VALUE!</v>
      </c>
      <c r="AX4" t="e">
        <f>AND('WJP Rule of Law Index 2012-2013'!R16,"AAAAAG7wuDE=")</f>
        <v>#VALUE!</v>
      </c>
      <c r="AY4" t="e">
        <f>AND('WJP Rule of Law Index 2012-2013'!S16,"AAAAAG7wuDI=")</f>
        <v>#VALUE!</v>
      </c>
      <c r="AZ4" t="e">
        <f>AND('WJP Rule of Law Index 2012-2013'!T16,"AAAAAG7wuDM=")</f>
        <v>#VALUE!</v>
      </c>
      <c r="BA4" t="e">
        <f>AND('WJP Rule of Law Index 2012-2013'!U16,"AAAAAG7wuDQ=")</f>
        <v>#VALUE!</v>
      </c>
      <c r="BB4" t="e">
        <f>AND('WJP Rule of Law Index 2012-2013'!V16,"AAAAAG7wuDU=")</f>
        <v>#VALUE!</v>
      </c>
      <c r="BC4" t="e">
        <f>AND('WJP Rule of Law Index 2012-2013'!W16,"AAAAAG7wuDY=")</f>
        <v>#VALUE!</v>
      </c>
      <c r="BD4" t="e">
        <f>AND('WJP Rule of Law Index 2012-2013'!X16,"AAAAAG7wuDc=")</f>
        <v>#VALUE!</v>
      </c>
      <c r="BE4" t="e">
        <f>AND('WJP Rule of Law Index 2012-2013'!Y16,"AAAAAG7wuDg=")</f>
        <v>#VALUE!</v>
      </c>
      <c r="BF4" t="e">
        <f>AND('WJP Rule of Law Index 2012-2013'!Z16,"AAAAAG7wuDk=")</f>
        <v>#VALUE!</v>
      </c>
      <c r="BG4" t="e">
        <f>AND('WJP Rule of Law Index 2012-2013'!AA16,"AAAAAG7wuDo=")</f>
        <v>#VALUE!</v>
      </c>
      <c r="BH4" t="e">
        <f>AND('WJP Rule of Law Index 2012-2013'!AB16,"AAAAAG7wuDs=")</f>
        <v>#VALUE!</v>
      </c>
      <c r="BI4" t="e">
        <f>AND('WJP Rule of Law Index 2012-2013'!AC16,"AAAAAG7wuDw=")</f>
        <v>#VALUE!</v>
      </c>
      <c r="BJ4" t="e">
        <f>AND('WJP Rule of Law Index 2012-2013'!AD16,"AAAAAG7wuD0=")</f>
        <v>#VALUE!</v>
      </c>
      <c r="BK4" t="e">
        <f>AND('WJP Rule of Law Index 2012-2013'!AE16,"AAAAAG7wuD4=")</f>
        <v>#VALUE!</v>
      </c>
      <c r="BL4" t="e">
        <f>AND('WJP Rule of Law Index 2012-2013'!AF16,"AAAAAG7wuD8=")</f>
        <v>#VALUE!</v>
      </c>
      <c r="BM4" t="e">
        <f>AND('WJP Rule of Law Index 2012-2013'!AG16,"AAAAAG7wuEA=")</f>
        <v>#VALUE!</v>
      </c>
      <c r="BN4" t="e">
        <f>AND('WJP Rule of Law Index 2012-2013'!#REF!,"AAAAAG7wuEE=")</f>
        <v>#REF!</v>
      </c>
      <c r="BO4" t="e">
        <f>AND('WJP Rule of Law Index 2012-2013'!#REF!,"AAAAAG7wuEI=")</f>
        <v>#REF!</v>
      </c>
      <c r="BP4" t="e">
        <f>AND('WJP Rule of Law Index 2012-2013'!AH16,"AAAAAG7wuEM=")</f>
        <v>#VALUE!</v>
      </c>
      <c r="BQ4" t="e">
        <f>AND('WJP Rule of Law Index 2012-2013'!AI16,"AAAAAG7wuEQ=")</f>
        <v>#VALUE!</v>
      </c>
      <c r="BR4" t="e">
        <f>AND('WJP Rule of Law Index 2012-2013'!AJ16,"AAAAAG7wuEU=")</f>
        <v>#VALUE!</v>
      </c>
      <c r="BS4" t="e">
        <f>AND('WJP Rule of Law Index 2012-2013'!AK16,"AAAAAG7wuEY=")</f>
        <v>#VALUE!</v>
      </c>
      <c r="BT4" t="e">
        <f>AND('WJP Rule of Law Index 2012-2013'!AL16,"AAAAAG7wuEc=")</f>
        <v>#VALUE!</v>
      </c>
      <c r="BU4" t="e">
        <f>AND('WJP Rule of Law Index 2012-2013'!AM16,"AAAAAG7wuEg=")</f>
        <v>#VALUE!</v>
      </c>
      <c r="BV4" t="e">
        <f>AND('WJP Rule of Law Index 2012-2013'!AN16,"AAAAAG7wuEk=")</f>
        <v>#VALUE!</v>
      </c>
      <c r="BW4" t="e">
        <f>AND('WJP Rule of Law Index 2012-2013'!AO16,"AAAAAG7wuEo=")</f>
        <v>#VALUE!</v>
      </c>
      <c r="BX4" t="e">
        <f>AND('WJP Rule of Law Index 2012-2013'!AP16,"AAAAAG7wuEs=")</f>
        <v>#VALUE!</v>
      </c>
      <c r="BY4" t="e">
        <f>AND('WJP Rule of Law Index 2012-2013'!AQ16,"AAAAAG7wuEw=")</f>
        <v>#VALUE!</v>
      </c>
      <c r="BZ4" t="e">
        <f>AND('WJP Rule of Law Index 2012-2013'!AR16,"AAAAAG7wuE0=")</f>
        <v>#VALUE!</v>
      </c>
      <c r="CA4" t="e">
        <f>AND('WJP Rule of Law Index 2012-2013'!AS16,"AAAAAG7wuE4=")</f>
        <v>#VALUE!</v>
      </c>
      <c r="CB4" t="e">
        <f>AND('WJP Rule of Law Index 2012-2013'!AT16,"AAAAAG7wuE8=")</f>
        <v>#VALUE!</v>
      </c>
      <c r="CC4">
        <f>IF('WJP Rule of Law Index 2012-2013'!17:17,"AAAAAG7wuFA=",0)</f>
        <v>0</v>
      </c>
      <c r="CD4" t="e">
        <f>AND('WJP Rule of Law Index 2012-2013'!A17,"AAAAAG7wuFE=")</f>
        <v>#VALUE!</v>
      </c>
      <c r="CE4" t="e">
        <f>AND('WJP Rule of Law Index 2012-2013'!B17,"AAAAAG7wuFI=")</f>
        <v>#VALUE!</v>
      </c>
      <c r="CF4" t="e">
        <f>AND('WJP Rule of Law Index 2012-2013'!#REF!,"AAAAAG7wuFM=")</f>
        <v>#REF!</v>
      </c>
      <c r="CG4" t="e">
        <f>AND('WJP Rule of Law Index 2012-2013'!C17,"AAAAAG7wuFQ=")</f>
        <v>#VALUE!</v>
      </c>
      <c r="CH4" t="e">
        <f>AND('WJP Rule of Law Index 2012-2013'!#REF!,"AAAAAG7wuFU=")</f>
        <v>#REF!</v>
      </c>
      <c r="CI4" t="e">
        <f>AND('WJP Rule of Law Index 2012-2013'!D17,"AAAAAG7wuFY=")</f>
        <v>#VALUE!</v>
      </c>
      <c r="CJ4" t="e">
        <f>AND('WJP Rule of Law Index 2012-2013'!E17,"AAAAAG7wuFc=")</f>
        <v>#VALUE!</v>
      </c>
      <c r="CK4" t="e">
        <f>AND('WJP Rule of Law Index 2012-2013'!F17,"AAAAAG7wuFg=")</f>
        <v>#VALUE!</v>
      </c>
      <c r="CL4" t="e">
        <f>AND('WJP Rule of Law Index 2012-2013'!G17,"AAAAAG7wuFk=")</f>
        <v>#VALUE!</v>
      </c>
      <c r="CM4" t="e">
        <f>AND('WJP Rule of Law Index 2012-2013'!H17,"AAAAAG7wuFo=")</f>
        <v>#VALUE!</v>
      </c>
      <c r="CN4" t="e">
        <f>AND('WJP Rule of Law Index 2012-2013'!I17,"AAAAAG7wuFs=")</f>
        <v>#VALUE!</v>
      </c>
      <c r="CO4" t="e">
        <f>AND('WJP Rule of Law Index 2012-2013'!J17,"AAAAAG7wuFw=")</f>
        <v>#VALUE!</v>
      </c>
      <c r="CP4" t="e">
        <f>AND('WJP Rule of Law Index 2012-2013'!K17,"AAAAAG7wuF0=")</f>
        <v>#VALUE!</v>
      </c>
      <c r="CQ4" t="e">
        <f>AND('WJP Rule of Law Index 2012-2013'!#REF!,"AAAAAG7wuF4=")</f>
        <v>#REF!</v>
      </c>
      <c r="CR4" t="e">
        <f>AND('WJP Rule of Law Index 2012-2013'!#REF!,"AAAAAG7wuF8=")</f>
        <v>#REF!</v>
      </c>
      <c r="CS4" t="e">
        <f>AND('WJP Rule of Law Index 2012-2013'!#REF!,"AAAAAG7wuGA=")</f>
        <v>#REF!</v>
      </c>
      <c r="CT4" t="e">
        <f>AND('WJP Rule of Law Index 2012-2013'!P17,"AAAAAG7wuGE=")</f>
        <v>#VALUE!</v>
      </c>
      <c r="CU4" t="e">
        <f>AND('WJP Rule of Law Index 2012-2013'!Q17,"AAAAAG7wuGI=")</f>
        <v>#VALUE!</v>
      </c>
      <c r="CV4" t="e">
        <f>AND('WJP Rule of Law Index 2012-2013'!R17,"AAAAAG7wuGM=")</f>
        <v>#VALUE!</v>
      </c>
      <c r="CW4" t="e">
        <f>AND('WJP Rule of Law Index 2012-2013'!S17,"AAAAAG7wuGQ=")</f>
        <v>#VALUE!</v>
      </c>
      <c r="CX4" t="e">
        <f>AND('WJP Rule of Law Index 2012-2013'!T17,"AAAAAG7wuGU=")</f>
        <v>#VALUE!</v>
      </c>
      <c r="CY4" t="e">
        <f>AND('WJP Rule of Law Index 2012-2013'!U17,"AAAAAG7wuGY=")</f>
        <v>#VALUE!</v>
      </c>
      <c r="CZ4" t="e">
        <f>AND('WJP Rule of Law Index 2012-2013'!V17,"AAAAAG7wuGc=")</f>
        <v>#VALUE!</v>
      </c>
      <c r="DA4" t="e">
        <f>AND('WJP Rule of Law Index 2012-2013'!W17,"AAAAAG7wuGg=")</f>
        <v>#VALUE!</v>
      </c>
      <c r="DB4" t="e">
        <f>AND('WJP Rule of Law Index 2012-2013'!X17,"AAAAAG7wuGk=")</f>
        <v>#VALUE!</v>
      </c>
      <c r="DC4" t="e">
        <f>AND('WJP Rule of Law Index 2012-2013'!Y17,"AAAAAG7wuGo=")</f>
        <v>#VALUE!</v>
      </c>
      <c r="DD4" t="e">
        <f>AND('WJP Rule of Law Index 2012-2013'!Z17,"AAAAAG7wuGs=")</f>
        <v>#VALUE!</v>
      </c>
      <c r="DE4" t="e">
        <f>AND('WJP Rule of Law Index 2012-2013'!AA17,"AAAAAG7wuGw=")</f>
        <v>#VALUE!</v>
      </c>
      <c r="DF4" t="e">
        <f>AND('WJP Rule of Law Index 2012-2013'!AB17,"AAAAAG7wuG0=")</f>
        <v>#VALUE!</v>
      </c>
      <c r="DG4" t="e">
        <f>AND('WJP Rule of Law Index 2012-2013'!AC17,"AAAAAG7wuG4=")</f>
        <v>#VALUE!</v>
      </c>
      <c r="DH4" t="e">
        <f>AND('WJP Rule of Law Index 2012-2013'!AD17,"AAAAAG7wuG8=")</f>
        <v>#VALUE!</v>
      </c>
      <c r="DI4" t="e">
        <f>AND('WJP Rule of Law Index 2012-2013'!AE17,"AAAAAG7wuHA=")</f>
        <v>#VALUE!</v>
      </c>
      <c r="DJ4" t="e">
        <f>AND('WJP Rule of Law Index 2012-2013'!AF17,"AAAAAG7wuHE=")</f>
        <v>#VALUE!</v>
      </c>
      <c r="DK4" t="e">
        <f>AND('WJP Rule of Law Index 2012-2013'!AG17,"AAAAAG7wuHI=")</f>
        <v>#VALUE!</v>
      </c>
      <c r="DL4" t="e">
        <f>AND('WJP Rule of Law Index 2012-2013'!#REF!,"AAAAAG7wuHM=")</f>
        <v>#REF!</v>
      </c>
      <c r="DM4" t="e">
        <f>AND('WJP Rule of Law Index 2012-2013'!#REF!,"AAAAAG7wuHQ=")</f>
        <v>#REF!</v>
      </c>
      <c r="DN4" t="e">
        <f>AND('WJP Rule of Law Index 2012-2013'!AH17,"AAAAAG7wuHU=")</f>
        <v>#VALUE!</v>
      </c>
      <c r="DO4" t="e">
        <f>AND('WJP Rule of Law Index 2012-2013'!AI17,"AAAAAG7wuHY=")</f>
        <v>#VALUE!</v>
      </c>
      <c r="DP4" t="e">
        <f>AND('WJP Rule of Law Index 2012-2013'!AJ17,"AAAAAG7wuHc=")</f>
        <v>#VALUE!</v>
      </c>
      <c r="DQ4" t="e">
        <f>AND('WJP Rule of Law Index 2012-2013'!AK17,"AAAAAG7wuHg=")</f>
        <v>#VALUE!</v>
      </c>
      <c r="DR4" t="e">
        <f>AND('WJP Rule of Law Index 2012-2013'!AL17,"AAAAAG7wuHk=")</f>
        <v>#VALUE!</v>
      </c>
      <c r="DS4" t="e">
        <f>AND('WJP Rule of Law Index 2012-2013'!AM17,"AAAAAG7wuHo=")</f>
        <v>#VALUE!</v>
      </c>
      <c r="DT4" t="e">
        <f>AND('WJP Rule of Law Index 2012-2013'!AN17,"AAAAAG7wuHs=")</f>
        <v>#VALUE!</v>
      </c>
      <c r="DU4" t="e">
        <f>AND('WJP Rule of Law Index 2012-2013'!AO17,"AAAAAG7wuHw=")</f>
        <v>#VALUE!</v>
      </c>
      <c r="DV4" t="e">
        <f>AND('WJP Rule of Law Index 2012-2013'!AP17,"AAAAAG7wuH0=")</f>
        <v>#VALUE!</v>
      </c>
      <c r="DW4" t="e">
        <f>AND('WJP Rule of Law Index 2012-2013'!AQ17,"AAAAAG7wuH4=")</f>
        <v>#VALUE!</v>
      </c>
      <c r="DX4" t="e">
        <f>AND('WJP Rule of Law Index 2012-2013'!AR17,"AAAAAG7wuH8=")</f>
        <v>#VALUE!</v>
      </c>
      <c r="DY4" t="e">
        <f>AND('WJP Rule of Law Index 2012-2013'!AS17,"AAAAAG7wuIA=")</f>
        <v>#VALUE!</v>
      </c>
      <c r="DZ4" t="e">
        <f>AND('WJP Rule of Law Index 2012-2013'!AT17,"AAAAAG7wuIE=")</f>
        <v>#VALUE!</v>
      </c>
      <c r="EA4">
        <f>IF('WJP Rule of Law Index 2012-2013'!18:18,"AAAAAG7wuII=",0)</f>
        <v>0</v>
      </c>
      <c r="EB4" t="e">
        <f>AND('WJP Rule of Law Index 2012-2013'!A18,"AAAAAG7wuIM=")</f>
        <v>#VALUE!</v>
      </c>
      <c r="EC4" t="e">
        <f>AND('WJP Rule of Law Index 2012-2013'!B18,"AAAAAG7wuIQ=")</f>
        <v>#VALUE!</v>
      </c>
      <c r="ED4" t="e">
        <f>AND('WJP Rule of Law Index 2012-2013'!#REF!,"AAAAAG7wuIU=")</f>
        <v>#REF!</v>
      </c>
      <c r="EE4" t="e">
        <f>AND('WJP Rule of Law Index 2012-2013'!C18,"AAAAAG7wuIY=")</f>
        <v>#VALUE!</v>
      </c>
      <c r="EF4" t="e">
        <f>AND('WJP Rule of Law Index 2012-2013'!#REF!,"AAAAAG7wuIc=")</f>
        <v>#REF!</v>
      </c>
      <c r="EG4" t="e">
        <f>AND('WJP Rule of Law Index 2012-2013'!D18,"AAAAAG7wuIg=")</f>
        <v>#VALUE!</v>
      </c>
      <c r="EH4" t="e">
        <f>AND('WJP Rule of Law Index 2012-2013'!E18,"AAAAAG7wuIk=")</f>
        <v>#VALUE!</v>
      </c>
      <c r="EI4" t="e">
        <f>AND('WJP Rule of Law Index 2012-2013'!F18,"AAAAAG7wuIo=")</f>
        <v>#VALUE!</v>
      </c>
      <c r="EJ4" t="e">
        <f>AND('WJP Rule of Law Index 2012-2013'!G18,"AAAAAG7wuIs=")</f>
        <v>#VALUE!</v>
      </c>
      <c r="EK4" t="e">
        <f>AND('WJP Rule of Law Index 2012-2013'!H18,"AAAAAG7wuIw=")</f>
        <v>#VALUE!</v>
      </c>
      <c r="EL4" t="e">
        <f>AND('WJP Rule of Law Index 2012-2013'!I18,"AAAAAG7wuI0=")</f>
        <v>#VALUE!</v>
      </c>
      <c r="EM4" t="e">
        <f>AND('WJP Rule of Law Index 2012-2013'!J18,"AAAAAG7wuI4=")</f>
        <v>#VALUE!</v>
      </c>
      <c r="EN4" t="e">
        <f>AND('WJP Rule of Law Index 2012-2013'!K18,"AAAAAG7wuI8=")</f>
        <v>#VALUE!</v>
      </c>
      <c r="EO4" t="e">
        <f>AND('WJP Rule of Law Index 2012-2013'!#REF!,"AAAAAG7wuJA=")</f>
        <v>#REF!</v>
      </c>
      <c r="EP4" t="e">
        <f>AND('WJP Rule of Law Index 2012-2013'!#REF!,"AAAAAG7wuJE=")</f>
        <v>#REF!</v>
      </c>
      <c r="EQ4" t="e">
        <f>AND('WJP Rule of Law Index 2012-2013'!#REF!,"AAAAAG7wuJI=")</f>
        <v>#REF!</v>
      </c>
      <c r="ER4" t="e">
        <f>AND('WJP Rule of Law Index 2012-2013'!P18,"AAAAAG7wuJM=")</f>
        <v>#VALUE!</v>
      </c>
      <c r="ES4" t="e">
        <f>AND('WJP Rule of Law Index 2012-2013'!Q18,"AAAAAG7wuJQ=")</f>
        <v>#VALUE!</v>
      </c>
      <c r="ET4" t="e">
        <f>AND('WJP Rule of Law Index 2012-2013'!R18,"AAAAAG7wuJU=")</f>
        <v>#VALUE!</v>
      </c>
      <c r="EU4" t="e">
        <f>AND('WJP Rule of Law Index 2012-2013'!S18,"AAAAAG7wuJY=")</f>
        <v>#VALUE!</v>
      </c>
      <c r="EV4" t="e">
        <f>AND('WJP Rule of Law Index 2012-2013'!T18,"AAAAAG7wuJc=")</f>
        <v>#VALUE!</v>
      </c>
      <c r="EW4" t="e">
        <f>AND('WJP Rule of Law Index 2012-2013'!U18,"AAAAAG7wuJg=")</f>
        <v>#VALUE!</v>
      </c>
      <c r="EX4" t="e">
        <f>AND('WJP Rule of Law Index 2012-2013'!V18,"AAAAAG7wuJk=")</f>
        <v>#VALUE!</v>
      </c>
      <c r="EY4" t="e">
        <f>AND('WJP Rule of Law Index 2012-2013'!W18,"AAAAAG7wuJo=")</f>
        <v>#VALUE!</v>
      </c>
      <c r="EZ4" t="e">
        <f>AND('WJP Rule of Law Index 2012-2013'!X18,"AAAAAG7wuJs=")</f>
        <v>#VALUE!</v>
      </c>
      <c r="FA4" t="e">
        <f>AND('WJP Rule of Law Index 2012-2013'!Y18,"AAAAAG7wuJw=")</f>
        <v>#VALUE!</v>
      </c>
      <c r="FB4" t="e">
        <f>AND('WJP Rule of Law Index 2012-2013'!Z18,"AAAAAG7wuJ0=")</f>
        <v>#VALUE!</v>
      </c>
      <c r="FC4" t="e">
        <f>AND('WJP Rule of Law Index 2012-2013'!AA18,"AAAAAG7wuJ4=")</f>
        <v>#VALUE!</v>
      </c>
      <c r="FD4" t="e">
        <f>AND('WJP Rule of Law Index 2012-2013'!AB18,"AAAAAG7wuJ8=")</f>
        <v>#VALUE!</v>
      </c>
      <c r="FE4" t="e">
        <f>AND('WJP Rule of Law Index 2012-2013'!AC18,"AAAAAG7wuKA=")</f>
        <v>#VALUE!</v>
      </c>
      <c r="FF4" t="e">
        <f>AND('WJP Rule of Law Index 2012-2013'!AD18,"AAAAAG7wuKE=")</f>
        <v>#VALUE!</v>
      </c>
      <c r="FG4" t="e">
        <f>AND('WJP Rule of Law Index 2012-2013'!AE18,"AAAAAG7wuKI=")</f>
        <v>#VALUE!</v>
      </c>
      <c r="FH4" t="e">
        <f>AND('WJP Rule of Law Index 2012-2013'!AF18,"AAAAAG7wuKM=")</f>
        <v>#VALUE!</v>
      </c>
      <c r="FI4" t="e">
        <f>AND('WJP Rule of Law Index 2012-2013'!AG18,"AAAAAG7wuKQ=")</f>
        <v>#VALUE!</v>
      </c>
      <c r="FJ4" t="e">
        <f>AND('WJP Rule of Law Index 2012-2013'!#REF!,"AAAAAG7wuKU=")</f>
        <v>#REF!</v>
      </c>
      <c r="FK4" t="e">
        <f>AND('WJP Rule of Law Index 2012-2013'!#REF!,"AAAAAG7wuKY=")</f>
        <v>#REF!</v>
      </c>
      <c r="FL4" t="e">
        <f>AND('WJP Rule of Law Index 2012-2013'!AH18,"AAAAAG7wuKc=")</f>
        <v>#VALUE!</v>
      </c>
      <c r="FM4" t="e">
        <f>AND('WJP Rule of Law Index 2012-2013'!AI18,"AAAAAG7wuKg=")</f>
        <v>#VALUE!</v>
      </c>
      <c r="FN4" t="e">
        <f>AND('WJP Rule of Law Index 2012-2013'!AJ18,"AAAAAG7wuKk=")</f>
        <v>#VALUE!</v>
      </c>
      <c r="FO4" t="e">
        <f>AND('WJP Rule of Law Index 2012-2013'!AK18,"AAAAAG7wuKo=")</f>
        <v>#VALUE!</v>
      </c>
      <c r="FP4" t="e">
        <f>AND('WJP Rule of Law Index 2012-2013'!AL18,"AAAAAG7wuKs=")</f>
        <v>#VALUE!</v>
      </c>
      <c r="FQ4" t="e">
        <f>AND('WJP Rule of Law Index 2012-2013'!AM18,"AAAAAG7wuKw=")</f>
        <v>#VALUE!</v>
      </c>
      <c r="FR4" t="e">
        <f>AND('WJP Rule of Law Index 2012-2013'!AN18,"AAAAAG7wuK0=")</f>
        <v>#VALUE!</v>
      </c>
      <c r="FS4" t="e">
        <f>AND('WJP Rule of Law Index 2012-2013'!AO18,"AAAAAG7wuK4=")</f>
        <v>#VALUE!</v>
      </c>
      <c r="FT4" t="e">
        <f>AND('WJP Rule of Law Index 2012-2013'!AP18,"AAAAAG7wuK8=")</f>
        <v>#VALUE!</v>
      </c>
      <c r="FU4" t="e">
        <f>AND('WJP Rule of Law Index 2012-2013'!AQ18,"AAAAAG7wuLA=")</f>
        <v>#VALUE!</v>
      </c>
      <c r="FV4" t="e">
        <f>AND('WJP Rule of Law Index 2012-2013'!AR18,"AAAAAG7wuLE=")</f>
        <v>#VALUE!</v>
      </c>
      <c r="FW4" t="e">
        <f>AND('WJP Rule of Law Index 2012-2013'!AS18,"AAAAAG7wuLI=")</f>
        <v>#VALUE!</v>
      </c>
      <c r="FX4" t="e">
        <f>AND('WJP Rule of Law Index 2012-2013'!AT18,"AAAAAG7wuLM=")</f>
        <v>#VALUE!</v>
      </c>
      <c r="FY4">
        <f>IF('WJP Rule of Law Index 2012-2013'!19:19,"AAAAAG7wuLQ=",0)</f>
        <v>0</v>
      </c>
      <c r="FZ4" t="e">
        <f>AND('WJP Rule of Law Index 2012-2013'!A19,"AAAAAG7wuLU=")</f>
        <v>#VALUE!</v>
      </c>
      <c r="GA4" t="e">
        <f>AND('WJP Rule of Law Index 2012-2013'!B19,"AAAAAG7wuLY=")</f>
        <v>#VALUE!</v>
      </c>
      <c r="GB4" t="e">
        <f>AND('WJP Rule of Law Index 2012-2013'!#REF!,"AAAAAG7wuLc=")</f>
        <v>#REF!</v>
      </c>
      <c r="GC4" t="e">
        <f>AND('WJP Rule of Law Index 2012-2013'!C19,"AAAAAG7wuLg=")</f>
        <v>#VALUE!</v>
      </c>
      <c r="GD4" t="e">
        <f>AND('WJP Rule of Law Index 2012-2013'!#REF!,"AAAAAG7wuLk=")</f>
        <v>#REF!</v>
      </c>
      <c r="GE4" t="e">
        <f>AND('WJP Rule of Law Index 2012-2013'!D19,"AAAAAG7wuLo=")</f>
        <v>#VALUE!</v>
      </c>
      <c r="GF4" t="e">
        <f>AND('WJP Rule of Law Index 2012-2013'!E19,"AAAAAG7wuLs=")</f>
        <v>#VALUE!</v>
      </c>
      <c r="GG4" t="e">
        <f>AND('WJP Rule of Law Index 2012-2013'!F19,"AAAAAG7wuLw=")</f>
        <v>#VALUE!</v>
      </c>
      <c r="GH4" t="e">
        <f>AND('WJP Rule of Law Index 2012-2013'!G19,"AAAAAG7wuL0=")</f>
        <v>#VALUE!</v>
      </c>
      <c r="GI4" t="e">
        <f>AND('WJP Rule of Law Index 2012-2013'!H19,"AAAAAG7wuL4=")</f>
        <v>#VALUE!</v>
      </c>
      <c r="GJ4" t="e">
        <f>AND('WJP Rule of Law Index 2012-2013'!I19,"AAAAAG7wuL8=")</f>
        <v>#VALUE!</v>
      </c>
      <c r="GK4" t="e">
        <f>AND('WJP Rule of Law Index 2012-2013'!J19,"AAAAAG7wuMA=")</f>
        <v>#VALUE!</v>
      </c>
      <c r="GL4" t="e">
        <f>AND('WJP Rule of Law Index 2012-2013'!K19,"AAAAAG7wuME=")</f>
        <v>#VALUE!</v>
      </c>
      <c r="GM4" t="e">
        <f>AND('WJP Rule of Law Index 2012-2013'!#REF!,"AAAAAG7wuMI=")</f>
        <v>#REF!</v>
      </c>
      <c r="GN4" t="e">
        <f>AND('WJP Rule of Law Index 2012-2013'!#REF!,"AAAAAG7wuMM=")</f>
        <v>#REF!</v>
      </c>
      <c r="GO4" t="e">
        <f>AND('WJP Rule of Law Index 2012-2013'!#REF!,"AAAAAG7wuMQ=")</f>
        <v>#REF!</v>
      </c>
      <c r="GP4" t="e">
        <f>AND('WJP Rule of Law Index 2012-2013'!P19,"AAAAAG7wuMU=")</f>
        <v>#VALUE!</v>
      </c>
      <c r="GQ4" t="e">
        <f>AND('WJP Rule of Law Index 2012-2013'!Q19,"AAAAAG7wuMY=")</f>
        <v>#VALUE!</v>
      </c>
      <c r="GR4" t="e">
        <f>AND('WJP Rule of Law Index 2012-2013'!R19,"AAAAAG7wuMc=")</f>
        <v>#VALUE!</v>
      </c>
      <c r="GS4" t="e">
        <f>AND('WJP Rule of Law Index 2012-2013'!S19,"AAAAAG7wuMg=")</f>
        <v>#VALUE!</v>
      </c>
      <c r="GT4" t="e">
        <f>AND('WJP Rule of Law Index 2012-2013'!T19,"AAAAAG7wuMk=")</f>
        <v>#VALUE!</v>
      </c>
      <c r="GU4" t="e">
        <f>AND('WJP Rule of Law Index 2012-2013'!U19,"AAAAAG7wuMo=")</f>
        <v>#VALUE!</v>
      </c>
      <c r="GV4" t="e">
        <f>AND('WJP Rule of Law Index 2012-2013'!V19,"AAAAAG7wuMs=")</f>
        <v>#VALUE!</v>
      </c>
      <c r="GW4" t="e">
        <f>AND('WJP Rule of Law Index 2012-2013'!W19,"AAAAAG7wuMw=")</f>
        <v>#VALUE!</v>
      </c>
      <c r="GX4" t="e">
        <f>AND('WJP Rule of Law Index 2012-2013'!X19,"AAAAAG7wuM0=")</f>
        <v>#VALUE!</v>
      </c>
      <c r="GY4" t="e">
        <f>AND('WJP Rule of Law Index 2012-2013'!Y19,"AAAAAG7wuM4=")</f>
        <v>#VALUE!</v>
      </c>
      <c r="GZ4" t="e">
        <f>AND('WJP Rule of Law Index 2012-2013'!Z19,"AAAAAG7wuM8=")</f>
        <v>#VALUE!</v>
      </c>
      <c r="HA4" t="e">
        <f>AND('WJP Rule of Law Index 2012-2013'!AA19,"AAAAAG7wuNA=")</f>
        <v>#VALUE!</v>
      </c>
      <c r="HB4" t="e">
        <f>AND('WJP Rule of Law Index 2012-2013'!AB19,"AAAAAG7wuNE=")</f>
        <v>#VALUE!</v>
      </c>
      <c r="HC4" t="e">
        <f>AND('WJP Rule of Law Index 2012-2013'!AC19,"AAAAAG7wuNI=")</f>
        <v>#VALUE!</v>
      </c>
      <c r="HD4" t="e">
        <f>AND('WJP Rule of Law Index 2012-2013'!AD19,"AAAAAG7wuNM=")</f>
        <v>#VALUE!</v>
      </c>
      <c r="HE4" t="e">
        <f>AND('WJP Rule of Law Index 2012-2013'!AE19,"AAAAAG7wuNQ=")</f>
        <v>#VALUE!</v>
      </c>
      <c r="HF4" t="e">
        <f>AND('WJP Rule of Law Index 2012-2013'!AF19,"AAAAAG7wuNU=")</f>
        <v>#VALUE!</v>
      </c>
      <c r="HG4" t="e">
        <f>AND('WJP Rule of Law Index 2012-2013'!AG19,"AAAAAG7wuNY=")</f>
        <v>#VALUE!</v>
      </c>
      <c r="HH4" t="e">
        <f>AND('WJP Rule of Law Index 2012-2013'!#REF!,"AAAAAG7wuNc=")</f>
        <v>#REF!</v>
      </c>
      <c r="HI4" t="e">
        <f>AND('WJP Rule of Law Index 2012-2013'!#REF!,"AAAAAG7wuNg=")</f>
        <v>#REF!</v>
      </c>
      <c r="HJ4" t="e">
        <f>AND('WJP Rule of Law Index 2012-2013'!AH19,"AAAAAG7wuNk=")</f>
        <v>#VALUE!</v>
      </c>
      <c r="HK4" t="e">
        <f>AND('WJP Rule of Law Index 2012-2013'!AI19,"AAAAAG7wuNo=")</f>
        <v>#VALUE!</v>
      </c>
      <c r="HL4" t="e">
        <f>AND('WJP Rule of Law Index 2012-2013'!AJ19,"AAAAAG7wuNs=")</f>
        <v>#VALUE!</v>
      </c>
      <c r="HM4" t="e">
        <f>AND('WJP Rule of Law Index 2012-2013'!AK19,"AAAAAG7wuNw=")</f>
        <v>#VALUE!</v>
      </c>
      <c r="HN4" t="e">
        <f>AND('WJP Rule of Law Index 2012-2013'!AL19,"AAAAAG7wuN0=")</f>
        <v>#VALUE!</v>
      </c>
      <c r="HO4" t="e">
        <f>AND('WJP Rule of Law Index 2012-2013'!AM19,"AAAAAG7wuN4=")</f>
        <v>#VALUE!</v>
      </c>
      <c r="HP4" t="e">
        <f>AND('WJP Rule of Law Index 2012-2013'!AN19,"AAAAAG7wuN8=")</f>
        <v>#VALUE!</v>
      </c>
      <c r="HQ4" t="e">
        <f>AND('WJP Rule of Law Index 2012-2013'!AO19,"AAAAAG7wuOA=")</f>
        <v>#VALUE!</v>
      </c>
      <c r="HR4" t="e">
        <f>AND('WJP Rule of Law Index 2012-2013'!AP19,"AAAAAG7wuOE=")</f>
        <v>#VALUE!</v>
      </c>
      <c r="HS4" t="e">
        <f>AND('WJP Rule of Law Index 2012-2013'!AQ19,"AAAAAG7wuOI=")</f>
        <v>#VALUE!</v>
      </c>
      <c r="HT4" t="e">
        <f>AND('WJP Rule of Law Index 2012-2013'!AR19,"AAAAAG7wuOM=")</f>
        <v>#VALUE!</v>
      </c>
      <c r="HU4" t="e">
        <f>AND('WJP Rule of Law Index 2012-2013'!AS19,"AAAAAG7wuOQ=")</f>
        <v>#VALUE!</v>
      </c>
      <c r="HV4" t="e">
        <f>AND('WJP Rule of Law Index 2012-2013'!AT19,"AAAAAG7wuOU=")</f>
        <v>#VALUE!</v>
      </c>
      <c r="HW4">
        <f>IF('WJP Rule of Law Index 2012-2013'!20:20,"AAAAAG7wuOY=",0)</f>
        <v>0</v>
      </c>
      <c r="HX4" t="e">
        <f>AND('WJP Rule of Law Index 2012-2013'!A20,"AAAAAG7wuOc=")</f>
        <v>#VALUE!</v>
      </c>
      <c r="HY4" t="e">
        <f>AND('WJP Rule of Law Index 2012-2013'!B20,"AAAAAG7wuOg=")</f>
        <v>#VALUE!</v>
      </c>
      <c r="HZ4" t="e">
        <f>AND('WJP Rule of Law Index 2012-2013'!#REF!,"AAAAAG7wuOk=")</f>
        <v>#REF!</v>
      </c>
      <c r="IA4" t="e">
        <f>AND('WJP Rule of Law Index 2012-2013'!C20,"AAAAAG7wuOo=")</f>
        <v>#VALUE!</v>
      </c>
      <c r="IB4" t="e">
        <f>AND('WJP Rule of Law Index 2012-2013'!#REF!,"AAAAAG7wuOs=")</f>
        <v>#REF!</v>
      </c>
      <c r="IC4" t="e">
        <f>AND('WJP Rule of Law Index 2012-2013'!D20,"AAAAAG7wuOw=")</f>
        <v>#VALUE!</v>
      </c>
      <c r="ID4" t="e">
        <f>AND('WJP Rule of Law Index 2012-2013'!E20,"AAAAAG7wuO0=")</f>
        <v>#VALUE!</v>
      </c>
      <c r="IE4" t="e">
        <f>AND('WJP Rule of Law Index 2012-2013'!F20,"AAAAAG7wuO4=")</f>
        <v>#VALUE!</v>
      </c>
      <c r="IF4" t="e">
        <f>AND('WJP Rule of Law Index 2012-2013'!G20,"AAAAAG7wuO8=")</f>
        <v>#VALUE!</v>
      </c>
      <c r="IG4" t="e">
        <f>AND('WJP Rule of Law Index 2012-2013'!H20,"AAAAAG7wuPA=")</f>
        <v>#VALUE!</v>
      </c>
      <c r="IH4" t="e">
        <f>AND('WJP Rule of Law Index 2012-2013'!I20,"AAAAAG7wuPE=")</f>
        <v>#VALUE!</v>
      </c>
      <c r="II4" t="e">
        <f>AND('WJP Rule of Law Index 2012-2013'!J20,"AAAAAG7wuPI=")</f>
        <v>#VALUE!</v>
      </c>
      <c r="IJ4" t="e">
        <f>AND('WJP Rule of Law Index 2012-2013'!K20,"AAAAAG7wuPM=")</f>
        <v>#VALUE!</v>
      </c>
      <c r="IK4" t="e">
        <f>AND('WJP Rule of Law Index 2012-2013'!#REF!,"AAAAAG7wuPQ=")</f>
        <v>#REF!</v>
      </c>
      <c r="IL4" t="e">
        <f>AND('WJP Rule of Law Index 2012-2013'!#REF!,"AAAAAG7wuPU=")</f>
        <v>#REF!</v>
      </c>
      <c r="IM4" t="e">
        <f>AND('WJP Rule of Law Index 2012-2013'!#REF!,"AAAAAG7wuPY=")</f>
        <v>#REF!</v>
      </c>
      <c r="IN4" t="e">
        <f>AND('WJP Rule of Law Index 2012-2013'!P20,"AAAAAG7wuPc=")</f>
        <v>#VALUE!</v>
      </c>
      <c r="IO4" t="e">
        <f>AND('WJP Rule of Law Index 2012-2013'!Q20,"AAAAAG7wuPg=")</f>
        <v>#VALUE!</v>
      </c>
      <c r="IP4" t="e">
        <f>AND('WJP Rule of Law Index 2012-2013'!R20,"AAAAAG7wuPk=")</f>
        <v>#VALUE!</v>
      </c>
      <c r="IQ4" t="e">
        <f>AND('WJP Rule of Law Index 2012-2013'!S20,"AAAAAG7wuPo=")</f>
        <v>#VALUE!</v>
      </c>
      <c r="IR4" t="e">
        <f>AND('WJP Rule of Law Index 2012-2013'!T20,"AAAAAG7wuPs=")</f>
        <v>#VALUE!</v>
      </c>
      <c r="IS4" t="e">
        <f>AND('WJP Rule of Law Index 2012-2013'!U20,"AAAAAG7wuPw=")</f>
        <v>#VALUE!</v>
      </c>
      <c r="IT4" t="e">
        <f>AND('WJP Rule of Law Index 2012-2013'!V20,"AAAAAG7wuP0=")</f>
        <v>#VALUE!</v>
      </c>
      <c r="IU4" t="e">
        <f>AND('WJP Rule of Law Index 2012-2013'!W20,"AAAAAG7wuP4=")</f>
        <v>#VALUE!</v>
      </c>
      <c r="IV4" t="e">
        <f>AND('WJP Rule of Law Index 2012-2013'!X20,"AAAAAG7wuP8=")</f>
        <v>#VALUE!</v>
      </c>
    </row>
    <row r="5" spans="1:256" ht="15">
      <c r="A5" t="e">
        <f>AND('WJP Rule of Law Index 2012-2013'!Y20,"AAAAAH/29QA=")</f>
        <v>#VALUE!</v>
      </c>
      <c r="B5" t="e">
        <f>AND('WJP Rule of Law Index 2012-2013'!Z20,"AAAAAH/29QE=")</f>
        <v>#VALUE!</v>
      </c>
      <c r="C5" t="e">
        <f>AND('WJP Rule of Law Index 2012-2013'!AA20,"AAAAAH/29QI=")</f>
        <v>#VALUE!</v>
      </c>
      <c r="D5" t="e">
        <f>AND('WJP Rule of Law Index 2012-2013'!AB20,"AAAAAH/29QM=")</f>
        <v>#VALUE!</v>
      </c>
      <c r="E5" t="e">
        <f>AND('WJP Rule of Law Index 2012-2013'!AC20,"AAAAAH/29QQ=")</f>
        <v>#VALUE!</v>
      </c>
      <c r="F5" t="e">
        <f>AND('WJP Rule of Law Index 2012-2013'!AD20,"AAAAAH/29QU=")</f>
        <v>#VALUE!</v>
      </c>
      <c r="G5" t="e">
        <f>AND('WJP Rule of Law Index 2012-2013'!AE20,"AAAAAH/29QY=")</f>
        <v>#VALUE!</v>
      </c>
      <c r="H5" t="e">
        <f>AND('WJP Rule of Law Index 2012-2013'!AF20,"AAAAAH/29Qc=")</f>
        <v>#VALUE!</v>
      </c>
      <c r="I5" t="e">
        <f>AND('WJP Rule of Law Index 2012-2013'!AG20,"AAAAAH/29Qg=")</f>
        <v>#VALUE!</v>
      </c>
      <c r="J5" t="e">
        <f>AND('WJP Rule of Law Index 2012-2013'!#REF!,"AAAAAH/29Qk=")</f>
        <v>#REF!</v>
      </c>
      <c r="K5" t="e">
        <f>AND('WJP Rule of Law Index 2012-2013'!#REF!,"AAAAAH/29Qo=")</f>
        <v>#REF!</v>
      </c>
      <c r="L5" t="e">
        <f>AND('WJP Rule of Law Index 2012-2013'!AH20,"AAAAAH/29Qs=")</f>
        <v>#VALUE!</v>
      </c>
      <c r="M5" t="e">
        <f>AND('WJP Rule of Law Index 2012-2013'!AI20,"AAAAAH/29Qw=")</f>
        <v>#VALUE!</v>
      </c>
      <c r="N5" t="e">
        <f>AND('WJP Rule of Law Index 2012-2013'!AJ20,"AAAAAH/29Q0=")</f>
        <v>#VALUE!</v>
      </c>
      <c r="O5" t="e">
        <f>AND('WJP Rule of Law Index 2012-2013'!AK20,"AAAAAH/29Q4=")</f>
        <v>#VALUE!</v>
      </c>
      <c r="P5" t="e">
        <f>AND('WJP Rule of Law Index 2012-2013'!AL20,"AAAAAH/29Q8=")</f>
        <v>#VALUE!</v>
      </c>
      <c r="Q5" t="e">
        <f>AND('WJP Rule of Law Index 2012-2013'!AM20,"AAAAAH/29RA=")</f>
        <v>#VALUE!</v>
      </c>
      <c r="R5" t="e">
        <f>AND('WJP Rule of Law Index 2012-2013'!AN20,"AAAAAH/29RE=")</f>
        <v>#VALUE!</v>
      </c>
      <c r="S5" t="e">
        <f>AND('WJP Rule of Law Index 2012-2013'!AO20,"AAAAAH/29RI=")</f>
        <v>#VALUE!</v>
      </c>
      <c r="T5" t="e">
        <f>AND('WJP Rule of Law Index 2012-2013'!AP20,"AAAAAH/29RM=")</f>
        <v>#VALUE!</v>
      </c>
      <c r="U5" t="e">
        <f>AND('WJP Rule of Law Index 2012-2013'!AQ20,"AAAAAH/29RQ=")</f>
        <v>#VALUE!</v>
      </c>
      <c r="V5" t="e">
        <f>AND('WJP Rule of Law Index 2012-2013'!AR20,"AAAAAH/29RU=")</f>
        <v>#VALUE!</v>
      </c>
      <c r="W5" t="e">
        <f>AND('WJP Rule of Law Index 2012-2013'!AS20,"AAAAAH/29RY=")</f>
        <v>#VALUE!</v>
      </c>
      <c r="X5" t="e">
        <f>AND('WJP Rule of Law Index 2012-2013'!AT20,"AAAAAH/29Rc=")</f>
        <v>#VALUE!</v>
      </c>
      <c r="Y5" t="str">
        <f>IF('WJP Rule of Law Index 2012-2013'!21:21,"AAAAAH/29Rg=",0)</f>
        <v>AAAAAH/29Rg=</v>
      </c>
      <c r="Z5" t="e">
        <f>AND('WJP Rule of Law Index 2012-2013'!A21,"AAAAAH/29Rk=")</f>
        <v>#VALUE!</v>
      </c>
      <c r="AA5" t="e">
        <f>AND('WJP Rule of Law Index 2012-2013'!B21,"AAAAAH/29Ro=")</f>
        <v>#VALUE!</v>
      </c>
      <c r="AB5" t="e">
        <f>AND('WJP Rule of Law Index 2012-2013'!#REF!,"AAAAAH/29Rs=")</f>
        <v>#REF!</v>
      </c>
      <c r="AC5" t="e">
        <f>AND('WJP Rule of Law Index 2012-2013'!C21,"AAAAAH/29Rw=")</f>
        <v>#VALUE!</v>
      </c>
      <c r="AD5" t="e">
        <f>AND('WJP Rule of Law Index 2012-2013'!#REF!,"AAAAAH/29R0=")</f>
        <v>#REF!</v>
      </c>
      <c r="AE5" t="e">
        <f>AND('WJP Rule of Law Index 2012-2013'!D21,"AAAAAH/29R4=")</f>
        <v>#VALUE!</v>
      </c>
      <c r="AF5" t="e">
        <f>AND('WJP Rule of Law Index 2012-2013'!E21,"AAAAAH/29R8=")</f>
        <v>#VALUE!</v>
      </c>
      <c r="AG5" t="e">
        <f>AND('WJP Rule of Law Index 2012-2013'!F21,"AAAAAH/29SA=")</f>
        <v>#VALUE!</v>
      </c>
      <c r="AH5" t="e">
        <f>AND('WJP Rule of Law Index 2012-2013'!G21,"AAAAAH/29SE=")</f>
        <v>#VALUE!</v>
      </c>
      <c r="AI5" t="e">
        <f>AND('WJP Rule of Law Index 2012-2013'!H21,"AAAAAH/29SI=")</f>
        <v>#VALUE!</v>
      </c>
      <c r="AJ5" t="e">
        <f>AND('WJP Rule of Law Index 2012-2013'!I21,"AAAAAH/29SM=")</f>
        <v>#VALUE!</v>
      </c>
      <c r="AK5" t="e">
        <f>AND('WJP Rule of Law Index 2012-2013'!J21,"AAAAAH/29SQ=")</f>
        <v>#VALUE!</v>
      </c>
      <c r="AL5" t="e">
        <f>AND('WJP Rule of Law Index 2012-2013'!K21,"AAAAAH/29SU=")</f>
        <v>#VALUE!</v>
      </c>
      <c r="AM5" t="e">
        <f>AND('WJP Rule of Law Index 2012-2013'!#REF!,"AAAAAH/29SY=")</f>
        <v>#REF!</v>
      </c>
      <c r="AN5" t="e">
        <f>AND('WJP Rule of Law Index 2012-2013'!#REF!,"AAAAAH/29Sc=")</f>
        <v>#REF!</v>
      </c>
      <c r="AO5" t="e">
        <f>AND('WJP Rule of Law Index 2012-2013'!#REF!,"AAAAAH/29Sg=")</f>
        <v>#REF!</v>
      </c>
      <c r="AP5" t="e">
        <f>AND('WJP Rule of Law Index 2012-2013'!P21,"AAAAAH/29Sk=")</f>
        <v>#VALUE!</v>
      </c>
      <c r="AQ5" t="e">
        <f>AND('WJP Rule of Law Index 2012-2013'!Q21,"AAAAAH/29So=")</f>
        <v>#VALUE!</v>
      </c>
      <c r="AR5" t="e">
        <f>AND('WJP Rule of Law Index 2012-2013'!R21,"AAAAAH/29Ss=")</f>
        <v>#VALUE!</v>
      </c>
      <c r="AS5" t="e">
        <f>AND('WJP Rule of Law Index 2012-2013'!S21,"AAAAAH/29Sw=")</f>
        <v>#VALUE!</v>
      </c>
      <c r="AT5" t="e">
        <f>AND('WJP Rule of Law Index 2012-2013'!T21,"AAAAAH/29S0=")</f>
        <v>#VALUE!</v>
      </c>
      <c r="AU5" t="e">
        <f>AND('WJP Rule of Law Index 2012-2013'!U21,"AAAAAH/29S4=")</f>
        <v>#VALUE!</v>
      </c>
      <c r="AV5" t="e">
        <f>AND('WJP Rule of Law Index 2012-2013'!V21,"AAAAAH/29S8=")</f>
        <v>#VALUE!</v>
      </c>
      <c r="AW5" t="e">
        <f>AND('WJP Rule of Law Index 2012-2013'!W21,"AAAAAH/29TA=")</f>
        <v>#VALUE!</v>
      </c>
      <c r="AX5" t="e">
        <f>AND('WJP Rule of Law Index 2012-2013'!X21,"AAAAAH/29TE=")</f>
        <v>#VALUE!</v>
      </c>
      <c r="AY5" t="e">
        <f>AND('WJP Rule of Law Index 2012-2013'!Y21,"AAAAAH/29TI=")</f>
        <v>#VALUE!</v>
      </c>
      <c r="AZ5" t="e">
        <f>AND('WJP Rule of Law Index 2012-2013'!Z21,"AAAAAH/29TM=")</f>
        <v>#VALUE!</v>
      </c>
      <c r="BA5" t="e">
        <f>AND('WJP Rule of Law Index 2012-2013'!AA21,"AAAAAH/29TQ=")</f>
        <v>#VALUE!</v>
      </c>
      <c r="BB5" t="e">
        <f>AND('WJP Rule of Law Index 2012-2013'!AB21,"AAAAAH/29TU=")</f>
        <v>#VALUE!</v>
      </c>
      <c r="BC5" t="e">
        <f>AND('WJP Rule of Law Index 2012-2013'!AC21,"AAAAAH/29TY=")</f>
        <v>#VALUE!</v>
      </c>
      <c r="BD5" t="e">
        <f>AND('WJP Rule of Law Index 2012-2013'!AD21,"AAAAAH/29Tc=")</f>
        <v>#VALUE!</v>
      </c>
      <c r="BE5" t="e">
        <f>AND('WJP Rule of Law Index 2012-2013'!AE21,"AAAAAH/29Tg=")</f>
        <v>#VALUE!</v>
      </c>
      <c r="BF5" t="e">
        <f>AND('WJP Rule of Law Index 2012-2013'!AF21,"AAAAAH/29Tk=")</f>
        <v>#VALUE!</v>
      </c>
      <c r="BG5" t="e">
        <f>AND('WJP Rule of Law Index 2012-2013'!AG21,"AAAAAH/29To=")</f>
        <v>#VALUE!</v>
      </c>
      <c r="BH5" t="e">
        <f>AND('WJP Rule of Law Index 2012-2013'!#REF!,"AAAAAH/29Ts=")</f>
        <v>#REF!</v>
      </c>
      <c r="BI5" t="e">
        <f>AND('WJP Rule of Law Index 2012-2013'!#REF!,"AAAAAH/29Tw=")</f>
        <v>#REF!</v>
      </c>
      <c r="BJ5" t="e">
        <f>AND('WJP Rule of Law Index 2012-2013'!AH21,"AAAAAH/29T0=")</f>
        <v>#VALUE!</v>
      </c>
      <c r="BK5" t="e">
        <f>AND('WJP Rule of Law Index 2012-2013'!AI21,"AAAAAH/29T4=")</f>
        <v>#VALUE!</v>
      </c>
      <c r="BL5" t="e">
        <f>AND('WJP Rule of Law Index 2012-2013'!AJ21,"AAAAAH/29T8=")</f>
        <v>#VALUE!</v>
      </c>
      <c r="BM5" t="e">
        <f>AND('WJP Rule of Law Index 2012-2013'!AK21,"AAAAAH/29UA=")</f>
        <v>#VALUE!</v>
      </c>
      <c r="BN5" t="e">
        <f>AND('WJP Rule of Law Index 2012-2013'!AL21,"AAAAAH/29UE=")</f>
        <v>#VALUE!</v>
      </c>
      <c r="BO5" t="e">
        <f>AND('WJP Rule of Law Index 2012-2013'!AM21,"AAAAAH/29UI=")</f>
        <v>#VALUE!</v>
      </c>
      <c r="BP5" t="e">
        <f>AND('WJP Rule of Law Index 2012-2013'!AN21,"AAAAAH/29UM=")</f>
        <v>#VALUE!</v>
      </c>
      <c r="BQ5" t="e">
        <f>AND('WJP Rule of Law Index 2012-2013'!AO21,"AAAAAH/29UQ=")</f>
        <v>#VALUE!</v>
      </c>
      <c r="BR5" t="e">
        <f>AND('WJP Rule of Law Index 2012-2013'!AP21,"AAAAAH/29UU=")</f>
        <v>#VALUE!</v>
      </c>
      <c r="BS5" t="e">
        <f>AND('WJP Rule of Law Index 2012-2013'!AQ21,"AAAAAH/29UY=")</f>
        <v>#VALUE!</v>
      </c>
      <c r="BT5" t="e">
        <f>AND('WJP Rule of Law Index 2012-2013'!AR21,"AAAAAH/29Uc=")</f>
        <v>#VALUE!</v>
      </c>
      <c r="BU5" t="e">
        <f>AND('WJP Rule of Law Index 2012-2013'!AS21,"AAAAAH/29Ug=")</f>
        <v>#VALUE!</v>
      </c>
      <c r="BV5" t="e">
        <f>AND('WJP Rule of Law Index 2012-2013'!AT21,"AAAAAH/29Uk=")</f>
        <v>#VALUE!</v>
      </c>
      <c r="BW5">
        <f>IF('WJP Rule of Law Index 2012-2013'!22:22,"AAAAAH/29Uo=",0)</f>
        <v>0</v>
      </c>
      <c r="BX5" t="e">
        <f>AND('WJP Rule of Law Index 2012-2013'!A22,"AAAAAH/29Us=")</f>
        <v>#VALUE!</v>
      </c>
      <c r="BY5" t="e">
        <f>AND('WJP Rule of Law Index 2012-2013'!B22,"AAAAAH/29Uw=")</f>
        <v>#VALUE!</v>
      </c>
      <c r="BZ5" t="e">
        <f>AND('WJP Rule of Law Index 2012-2013'!#REF!,"AAAAAH/29U0=")</f>
        <v>#REF!</v>
      </c>
      <c r="CA5" t="e">
        <f>AND('WJP Rule of Law Index 2012-2013'!C22,"AAAAAH/29U4=")</f>
        <v>#VALUE!</v>
      </c>
      <c r="CB5" t="e">
        <f>AND('WJP Rule of Law Index 2012-2013'!#REF!,"AAAAAH/29U8=")</f>
        <v>#REF!</v>
      </c>
      <c r="CC5" t="e">
        <f>AND('WJP Rule of Law Index 2012-2013'!D22,"AAAAAH/29VA=")</f>
        <v>#VALUE!</v>
      </c>
      <c r="CD5" t="e">
        <f>AND('WJP Rule of Law Index 2012-2013'!E22,"AAAAAH/29VE=")</f>
        <v>#VALUE!</v>
      </c>
      <c r="CE5" t="e">
        <f>AND('WJP Rule of Law Index 2012-2013'!F22,"AAAAAH/29VI=")</f>
        <v>#VALUE!</v>
      </c>
      <c r="CF5" t="e">
        <f>AND('WJP Rule of Law Index 2012-2013'!G22,"AAAAAH/29VM=")</f>
        <v>#VALUE!</v>
      </c>
      <c r="CG5" t="e">
        <f>AND('WJP Rule of Law Index 2012-2013'!H22,"AAAAAH/29VQ=")</f>
        <v>#VALUE!</v>
      </c>
      <c r="CH5" t="e">
        <f>AND('WJP Rule of Law Index 2012-2013'!I22,"AAAAAH/29VU=")</f>
        <v>#VALUE!</v>
      </c>
      <c r="CI5" t="e">
        <f>AND('WJP Rule of Law Index 2012-2013'!J22,"AAAAAH/29VY=")</f>
        <v>#VALUE!</v>
      </c>
      <c r="CJ5" t="e">
        <f>AND('WJP Rule of Law Index 2012-2013'!K22,"AAAAAH/29Vc=")</f>
        <v>#VALUE!</v>
      </c>
      <c r="CK5" t="e">
        <f>AND('WJP Rule of Law Index 2012-2013'!#REF!,"AAAAAH/29Vg=")</f>
        <v>#REF!</v>
      </c>
      <c r="CL5" t="e">
        <f>AND('WJP Rule of Law Index 2012-2013'!#REF!,"AAAAAH/29Vk=")</f>
        <v>#REF!</v>
      </c>
      <c r="CM5" t="e">
        <f>AND('WJP Rule of Law Index 2012-2013'!#REF!,"AAAAAH/29Vo=")</f>
        <v>#REF!</v>
      </c>
      <c r="CN5" t="e">
        <f>AND('WJP Rule of Law Index 2012-2013'!P22,"AAAAAH/29Vs=")</f>
        <v>#VALUE!</v>
      </c>
      <c r="CO5" t="e">
        <f>AND('WJP Rule of Law Index 2012-2013'!Q22,"AAAAAH/29Vw=")</f>
        <v>#VALUE!</v>
      </c>
      <c r="CP5" t="e">
        <f>AND('WJP Rule of Law Index 2012-2013'!R22,"AAAAAH/29V0=")</f>
        <v>#VALUE!</v>
      </c>
      <c r="CQ5" t="e">
        <f>AND('WJP Rule of Law Index 2012-2013'!S22,"AAAAAH/29V4=")</f>
        <v>#VALUE!</v>
      </c>
      <c r="CR5" t="e">
        <f>AND('WJP Rule of Law Index 2012-2013'!T22,"AAAAAH/29V8=")</f>
        <v>#VALUE!</v>
      </c>
      <c r="CS5" t="e">
        <f>AND('WJP Rule of Law Index 2012-2013'!U22,"AAAAAH/29WA=")</f>
        <v>#VALUE!</v>
      </c>
      <c r="CT5" t="e">
        <f>AND('WJP Rule of Law Index 2012-2013'!V22,"AAAAAH/29WE=")</f>
        <v>#VALUE!</v>
      </c>
      <c r="CU5" t="e">
        <f>AND('WJP Rule of Law Index 2012-2013'!W22,"AAAAAH/29WI=")</f>
        <v>#VALUE!</v>
      </c>
      <c r="CV5" t="e">
        <f>AND('WJP Rule of Law Index 2012-2013'!X22,"AAAAAH/29WM=")</f>
        <v>#VALUE!</v>
      </c>
      <c r="CW5" t="e">
        <f>AND('WJP Rule of Law Index 2012-2013'!Y22,"AAAAAH/29WQ=")</f>
        <v>#VALUE!</v>
      </c>
      <c r="CX5" t="e">
        <f>AND('WJP Rule of Law Index 2012-2013'!Z22,"AAAAAH/29WU=")</f>
        <v>#VALUE!</v>
      </c>
      <c r="CY5" t="e">
        <f>AND('WJP Rule of Law Index 2012-2013'!AA22,"AAAAAH/29WY=")</f>
        <v>#VALUE!</v>
      </c>
      <c r="CZ5" t="e">
        <f>AND('WJP Rule of Law Index 2012-2013'!AB22,"AAAAAH/29Wc=")</f>
        <v>#VALUE!</v>
      </c>
      <c r="DA5" t="e">
        <f>AND('WJP Rule of Law Index 2012-2013'!AC22,"AAAAAH/29Wg=")</f>
        <v>#VALUE!</v>
      </c>
      <c r="DB5" t="e">
        <f>AND('WJP Rule of Law Index 2012-2013'!AD22,"AAAAAH/29Wk=")</f>
        <v>#VALUE!</v>
      </c>
      <c r="DC5" t="e">
        <f>AND('WJP Rule of Law Index 2012-2013'!AE22,"AAAAAH/29Wo=")</f>
        <v>#VALUE!</v>
      </c>
      <c r="DD5" t="e">
        <f>AND('WJP Rule of Law Index 2012-2013'!AF22,"AAAAAH/29Ws=")</f>
        <v>#VALUE!</v>
      </c>
      <c r="DE5" t="e">
        <f>AND('WJP Rule of Law Index 2012-2013'!AG22,"AAAAAH/29Ww=")</f>
        <v>#VALUE!</v>
      </c>
      <c r="DF5" t="e">
        <f>AND('WJP Rule of Law Index 2012-2013'!#REF!,"AAAAAH/29W0=")</f>
        <v>#REF!</v>
      </c>
      <c r="DG5" t="e">
        <f>AND('WJP Rule of Law Index 2012-2013'!#REF!,"AAAAAH/29W4=")</f>
        <v>#REF!</v>
      </c>
      <c r="DH5" t="e">
        <f>AND('WJP Rule of Law Index 2012-2013'!AH22,"AAAAAH/29W8=")</f>
        <v>#VALUE!</v>
      </c>
      <c r="DI5" t="e">
        <f>AND('WJP Rule of Law Index 2012-2013'!AI22,"AAAAAH/29XA=")</f>
        <v>#VALUE!</v>
      </c>
      <c r="DJ5" t="e">
        <f>AND('WJP Rule of Law Index 2012-2013'!AJ22,"AAAAAH/29XE=")</f>
        <v>#VALUE!</v>
      </c>
      <c r="DK5" t="e">
        <f>AND('WJP Rule of Law Index 2012-2013'!AK22,"AAAAAH/29XI=")</f>
        <v>#VALUE!</v>
      </c>
      <c r="DL5" t="e">
        <f>AND('WJP Rule of Law Index 2012-2013'!AL22,"AAAAAH/29XM=")</f>
        <v>#VALUE!</v>
      </c>
      <c r="DM5" t="e">
        <f>AND('WJP Rule of Law Index 2012-2013'!AM22,"AAAAAH/29XQ=")</f>
        <v>#VALUE!</v>
      </c>
      <c r="DN5" t="e">
        <f>AND('WJP Rule of Law Index 2012-2013'!AN22,"AAAAAH/29XU=")</f>
        <v>#VALUE!</v>
      </c>
      <c r="DO5" t="e">
        <f>AND('WJP Rule of Law Index 2012-2013'!AO22,"AAAAAH/29XY=")</f>
        <v>#VALUE!</v>
      </c>
      <c r="DP5" t="e">
        <f>AND('WJP Rule of Law Index 2012-2013'!AP22,"AAAAAH/29Xc=")</f>
        <v>#VALUE!</v>
      </c>
      <c r="DQ5" t="e">
        <f>AND('WJP Rule of Law Index 2012-2013'!AQ22,"AAAAAH/29Xg=")</f>
        <v>#VALUE!</v>
      </c>
      <c r="DR5" t="e">
        <f>AND('WJP Rule of Law Index 2012-2013'!AR22,"AAAAAH/29Xk=")</f>
        <v>#VALUE!</v>
      </c>
      <c r="DS5" t="e">
        <f>AND('WJP Rule of Law Index 2012-2013'!AS22,"AAAAAH/29Xo=")</f>
        <v>#VALUE!</v>
      </c>
      <c r="DT5" t="e">
        <f>AND('WJP Rule of Law Index 2012-2013'!AT22,"AAAAAH/29Xs=")</f>
        <v>#VALUE!</v>
      </c>
      <c r="DU5">
        <f>IF('WJP Rule of Law Index 2012-2013'!23:23,"AAAAAH/29Xw=",0)</f>
        <v>0</v>
      </c>
      <c r="DV5" t="e">
        <f>AND('WJP Rule of Law Index 2012-2013'!A23,"AAAAAH/29X0=")</f>
        <v>#VALUE!</v>
      </c>
      <c r="DW5" t="e">
        <f>AND('WJP Rule of Law Index 2012-2013'!B23,"AAAAAH/29X4=")</f>
        <v>#VALUE!</v>
      </c>
      <c r="DX5" t="e">
        <f>AND('WJP Rule of Law Index 2012-2013'!#REF!,"AAAAAH/29X8=")</f>
        <v>#REF!</v>
      </c>
      <c r="DY5" t="e">
        <f>AND('WJP Rule of Law Index 2012-2013'!C23,"AAAAAH/29YA=")</f>
        <v>#VALUE!</v>
      </c>
      <c r="DZ5" t="e">
        <f>AND('WJP Rule of Law Index 2012-2013'!#REF!,"AAAAAH/29YE=")</f>
        <v>#REF!</v>
      </c>
      <c r="EA5" t="e">
        <f>AND('WJP Rule of Law Index 2012-2013'!D23,"AAAAAH/29YI=")</f>
        <v>#VALUE!</v>
      </c>
      <c r="EB5" t="e">
        <f>AND('WJP Rule of Law Index 2012-2013'!E23,"AAAAAH/29YM=")</f>
        <v>#VALUE!</v>
      </c>
      <c r="EC5" t="e">
        <f>AND('WJP Rule of Law Index 2012-2013'!F23,"AAAAAH/29YQ=")</f>
        <v>#VALUE!</v>
      </c>
      <c r="ED5" t="e">
        <f>AND('WJP Rule of Law Index 2012-2013'!G23,"AAAAAH/29YU=")</f>
        <v>#VALUE!</v>
      </c>
      <c r="EE5" t="e">
        <f>AND('WJP Rule of Law Index 2012-2013'!H23,"AAAAAH/29YY=")</f>
        <v>#VALUE!</v>
      </c>
      <c r="EF5" t="e">
        <f>AND('WJP Rule of Law Index 2012-2013'!I23,"AAAAAH/29Yc=")</f>
        <v>#VALUE!</v>
      </c>
      <c r="EG5" t="e">
        <f>AND('WJP Rule of Law Index 2012-2013'!J23,"AAAAAH/29Yg=")</f>
        <v>#VALUE!</v>
      </c>
      <c r="EH5" t="e">
        <f>AND('WJP Rule of Law Index 2012-2013'!K23,"AAAAAH/29Yk=")</f>
        <v>#VALUE!</v>
      </c>
      <c r="EI5" t="e">
        <f>AND('WJP Rule of Law Index 2012-2013'!#REF!,"AAAAAH/29Yo=")</f>
        <v>#REF!</v>
      </c>
      <c r="EJ5" t="e">
        <f>AND('WJP Rule of Law Index 2012-2013'!#REF!,"AAAAAH/29Ys=")</f>
        <v>#REF!</v>
      </c>
      <c r="EK5" t="e">
        <f>AND('WJP Rule of Law Index 2012-2013'!#REF!,"AAAAAH/29Yw=")</f>
        <v>#REF!</v>
      </c>
      <c r="EL5" t="e">
        <f>AND('WJP Rule of Law Index 2012-2013'!P23,"AAAAAH/29Y0=")</f>
        <v>#VALUE!</v>
      </c>
      <c r="EM5" t="e">
        <f>AND('WJP Rule of Law Index 2012-2013'!Q23,"AAAAAH/29Y4=")</f>
        <v>#VALUE!</v>
      </c>
      <c r="EN5" t="e">
        <f>AND('WJP Rule of Law Index 2012-2013'!R23,"AAAAAH/29Y8=")</f>
        <v>#VALUE!</v>
      </c>
      <c r="EO5" t="e">
        <f>AND('WJP Rule of Law Index 2012-2013'!S23,"AAAAAH/29ZA=")</f>
        <v>#VALUE!</v>
      </c>
      <c r="EP5" t="e">
        <f>AND('WJP Rule of Law Index 2012-2013'!T23,"AAAAAH/29ZE=")</f>
        <v>#VALUE!</v>
      </c>
      <c r="EQ5" t="e">
        <f>AND('WJP Rule of Law Index 2012-2013'!U23,"AAAAAH/29ZI=")</f>
        <v>#VALUE!</v>
      </c>
      <c r="ER5" t="e">
        <f>AND('WJP Rule of Law Index 2012-2013'!V23,"AAAAAH/29ZM=")</f>
        <v>#VALUE!</v>
      </c>
      <c r="ES5" t="e">
        <f>AND('WJP Rule of Law Index 2012-2013'!W23,"AAAAAH/29ZQ=")</f>
        <v>#VALUE!</v>
      </c>
      <c r="ET5" t="e">
        <f>AND('WJP Rule of Law Index 2012-2013'!X23,"AAAAAH/29ZU=")</f>
        <v>#VALUE!</v>
      </c>
      <c r="EU5" t="e">
        <f>AND('WJP Rule of Law Index 2012-2013'!Y23,"AAAAAH/29ZY=")</f>
        <v>#VALUE!</v>
      </c>
      <c r="EV5" t="e">
        <f>AND('WJP Rule of Law Index 2012-2013'!Z23,"AAAAAH/29Zc=")</f>
        <v>#VALUE!</v>
      </c>
      <c r="EW5" t="e">
        <f>AND('WJP Rule of Law Index 2012-2013'!AA23,"AAAAAH/29Zg=")</f>
        <v>#VALUE!</v>
      </c>
      <c r="EX5" t="e">
        <f>AND('WJP Rule of Law Index 2012-2013'!AB23,"AAAAAH/29Zk=")</f>
        <v>#VALUE!</v>
      </c>
      <c r="EY5" t="e">
        <f>AND('WJP Rule of Law Index 2012-2013'!AC23,"AAAAAH/29Zo=")</f>
        <v>#VALUE!</v>
      </c>
      <c r="EZ5" t="e">
        <f>AND('WJP Rule of Law Index 2012-2013'!AD23,"AAAAAH/29Zs=")</f>
        <v>#VALUE!</v>
      </c>
      <c r="FA5" t="e">
        <f>AND('WJP Rule of Law Index 2012-2013'!AE23,"AAAAAH/29Zw=")</f>
        <v>#VALUE!</v>
      </c>
      <c r="FB5" t="e">
        <f>AND('WJP Rule of Law Index 2012-2013'!AF23,"AAAAAH/29Z0=")</f>
        <v>#VALUE!</v>
      </c>
      <c r="FC5" t="e">
        <f>AND('WJP Rule of Law Index 2012-2013'!AG23,"AAAAAH/29Z4=")</f>
        <v>#VALUE!</v>
      </c>
      <c r="FD5" t="e">
        <f>AND('WJP Rule of Law Index 2012-2013'!#REF!,"AAAAAH/29Z8=")</f>
        <v>#REF!</v>
      </c>
      <c r="FE5" t="e">
        <f>AND('WJP Rule of Law Index 2012-2013'!#REF!,"AAAAAH/29aA=")</f>
        <v>#REF!</v>
      </c>
      <c r="FF5" t="e">
        <f>AND('WJP Rule of Law Index 2012-2013'!AH23,"AAAAAH/29aE=")</f>
        <v>#VALUE!</v>
      </c>
      <c r="FG5" t="e">
        <f>AND('WJP Rule of Law Index 2012-2013'!AI23,"AAAAAH/29aI=")</f>
        <v>#VALUE!</v>
      </c>
      <c r="FH5" t="e">
        <f>AND('WJP Rule of Law Index 2012-2013'!AJ23,"AAAAAH/29aM=")</f>
        <v>#VALUE!</v>
      </c>
      <c r="FI5" t="e">
        <f>AND('WJP Rule of Law Index 2012-2013'!AK23,"AAAAAH/29aQ=")</f>
        <v>#VALUE!</v>
      </c>
      <c r="FJ5" t="e">
        <f>AND('WJP Rule of Law Index 2012-2013'!AL23,"AAAAAH/29aU=")</f>
        <v>#VALUE!</v>
      </c>
      <c r="FK5" t="e">
        <f>AND('WJP Rule of Law Index 2012-2013'!AM23,"AAAAAH/29aY=")</f>
        <v>#VALUE!</v>
      </c>
      <c r="FL5" t="e">
        <f>AND('WJP Rule of Law Index 2012-2013'!AN23,"AAAAAH/29ac=")</f>
        <v>#VALUE!</v>
      </c>
      <c r="FM5" t="e">
        <f>AND('WJP Rule of Law Index 2012-2013'!AO23,"AAAAAH/29ag=")</f>
        <v>#VALUE!</v>
      </c>
      <c r="FN5" t="e">
        <f>AND('WJP Rule of Law Index 2012-2013'!AP23,"AAAAAH/29ak=")</f>
        <v>#VALUE!</v>
      </c>
      <c r="FO5" t="e">
        <f>AND('WJP Rule of Law Index 2012-2013'!AQ23,"AAAAAH/29ao=")</f>
        <v>#VALUE!</v>
      </c>
      <c r="FP5" t="e">
        <f>AND('WJP Rule of Law Index 2012-2013'!AR23,"AAAAAH/29as=")</f>
        <v>#VALUE!</v>
      </c>
      <c r="FQ5" t="e">
        <f>AND('WJP Rule of Law Index 2012-2013'!AS23,"AAAAAH/29aw=")</f>
        <v>#VALUE!</v>
      </c>
      <c r="FR5" t="e">
        <f>AND('WJP Rule of Law Index 2012-2013'!AT23,"AAAAAH/29a0=")</f>
        <v>#VALUE!</v>
      </c>
      <c r="FS5">
        <f>IF('WJP Rule of Law Index 2012-2013'!24:24,"AAAAAH/29a4=",0)</f>
        <v>0</v>
      </c>
      <c r="FT5" t="e">
        <f>AND('WJP Rule of Law Index 2012-2013'!A24,"AAAAAH/29a8=")</f>
        <v>#VALUE!</v>
      </c>
      <c r="FU5" t="e">
        <f>AND('WJP Rule of Law Index 2012-2013'!B24,"AAAAAH/29bA=")</f>
        <v>#VALUE!</v>
      </c>
      <c r="FV5" t="e">
        <f>AND('WJP Rule of Law Index 2012-2013'!#REF!,"AAAAAH/29bE=")</f>
        <v>#REF!</v>
      </c>
      <c r="FW5" t="e">
        <f>AND('WJP Rule of Law Index 2012-2013'!C24,"AAAAAH/29bI=")</f>
        <v>#VALUE!</v>
      </c>
      <c r="FX5" t="e">
        <f>AND('WJP Rule of Law Index 2012-2013'!#REF!,"AAAAAH/29bM=")</f>
        <v>#REF!</v>
      </c>
      <c r="FY5" t="e">
        <f>AND('WJP Rule of Law Index 2012-2013'!D24,"AAAAAH/29bQ=")</f>
        <v>#VALUE!</v>
      </c>
      <c r="FZ5" t="e">
        <f>AND('WJP Rule of Law Index 2012-2013'!E24,"AAAAAH/29bU=")</f>
        <v>#VALUE!</v>
      </c>
      <c r="GA5" t="e">
        <f>AND('WJP Rule of Law Index 2012-2013'!F24,"AAAAAH/29bY=")</f>
        <v>#VALUE!</v>
      </c>
      <c r="GB5" t="e">
        <f>AND('WJP Rule of Law Index 2012-2013'!G24,"AAAAAH/29bc=")</f>
        <v>#VALUE!</v>
      </c>
      <c r="GC5" t="e">
        <f>AND('WJP Rule of Law Index 2012-2013'!H24,"AAAAAH/29bg=")</f>
        <v>#VALUE!</v>
      </c>
      <c r="GD5" t="e">
        <f>AND('WJP Rule of Law Index 2012-2013'!I24,"AAAAAH/29bk=")</f>
        <v>#VALUE!</v>
      </c>
      <c r="GE5" t="e">
        <f>AND('WJP Rule of Law Index 2012-2013'!J24,"AAAAAH/29bo=")</f>
        <v>#VALUE!</v>
      </c>
      <c r="GF5" t="e">
        <f>AND('WJP Rule of Law Index 2012-2013'!K24,"AAAAAH/29bs=")</f>
        <v>#VALUE!</v>
      </c>
      <c r="GG5" t="e">
        <f>AND('WJP Rule of Law Index 2012-2013'!#REF!,"AAAAAH/29bw=")</f>
        <v>#REF!</v>
      </c>
      <c r="GH5" t="e">
        <f>AND('WJP Rule of Law Index 2012-2013'!#REF!,"AAAAAH/29b0=")</f>
        <v>#REF!</v>
      </c>
      <c r="GI5" t="e">
        <f>AND('WJP Rule of Law Index 2012-2013'!#REF!,"AAAAAH/29b4=")</f>
        <v>#REF!</v>
      </c>
      <c r="GJ5" t="e">
        <f>AND('WJP Rule of Law Index 2012-2013'!P24,"AAAAAH/29b8=")</f>
        <v>#VALUE!</v>
      </c>
      <c r="GK5" t="e">
        <f>AND('WJP Rule of Law Index 2012-2013'!Q24,"AAAAAH/29cA=")</f>
        <v>#VALUE!</v>
      </c>
      <c r="GL5" t="e">
        <f>AND('WJP Rule of Law Index 2012-2013'!R24,"AAAAAH/29cE=")</f>
        <v>#VALUE!</v>
      </c>
      <c r="GM5" t="e">
        <f>AND('WJP Rule of Law Index 2012-2013'!S24,"AAAAAH/29cI=")</f>
        <v>#VALUE!</v>
      </c>
      <c r="GN5" t="e">
        <f>AND('WJP Rule of Law Index 2012-2013'!T24,"AAAAAH/29cM=")</f>
        <v>#VALUE!</v>
      </c>
      <c r="GO5" t="e">
        <f>AND('WJP Rule of Law Index 2012-2013'!U24,"AAAAAH/29cQ=")</f>
        <v>#VALUE!</v>
      </c>
      <c r="GP5" t="e">
        <f>AND('WJP Rule of Law Index 2012-2013'!V24,"AAAAAH/29cU=")</f>
        <v>#VALUE!</v>
      </c>
      <c r="GQ5" t="e">
        <f>AND('WJP Rule of Law Index 2012-2013'!W24,"AAAAAH/29cY=")</f>
        <v>#VALUE!</v>
      </c>
      <c r="GR5" t="e">
        <f>AND('WJP Rule of Law Index 2012-2013'!X24,"AAAAAH/29cc=")</f>
        <v>#VALUE!</v>
      </c>
      <c r="GS5" t="e">
        <f>AND('WJP Rule of Law Index 2012-2013'!Y24,"AAAAAH/29cg=")</f>
        <v>#VALUE!</v>
      </c>
      <c r="GT5" t="e">
        <f>AND('WJP Rule of Law Index 2012-2013'!Z24,"AAAAAH/29ck=")</f>
        <v>#VALUE!</v>
      </c>
      <c r="GU5" t="e">
        <f>AND('WJP Rule of Law Index 2012-2013'!AA24,"AAAAAH/29co=")</f>
        <v>#VALUE!</v>
      </c>
      <c r="GV5" t="e">
        <f>AND('WJP Rule of Law Index 2012-2013'!AB24,"AAAAAH/29cs=")</f>
        <v>#VALUE!</v>
      </c>
      <c r="GW5" t="e">
        <f>AND('WJP Rule of Law Index 2012-2013'!AC24,"AAAAAH/29cw=")</f>
        <v>#VALUE!</v>
      </c>
      <c r="GX5" t="e">
        <f>AND('WJP Rule of Law Index 2012-2013'!AD24,"AAAAAH/29c0=")</f>
        <v>#VALUE!</v>
      </c>
      <c r="GY5" t="e">
        <f>AND('WJP Rule of Law Index 2012-2013'!AE24,"AAAAAH/29c4=")</f>
        <v>#VALUE!</v>
      </c>
      <c r="GZ5" t="e">
        <f>AND('WJP Rule of Law Index 2012-2013'!AF24,"AAAAAH/29c8=")</f>
        <v>#VALUE!</v>
      </c>
      <c r="HA5" t="e">
        <f>AND('WJP Rule of Law Index 2012-2013'!AG24,"AAAAAH/29dA=")</f>
        <v>#VALUE!</v>
      </c>
      <c r="HB5" t="e">
        <f>AND('WJP Rule of Law Index 2012-2013'!#REF!,"AAAAAH/29dE=")</f>
        <v>#REF!</v>
      </c>
      <c r="HC5" t="e">
        <f>AND('WJP Rule of Law Index 2012-2013'!#REF!,"AAAAAH/29dI=")</f>
        <v>#REF!</v>
      </c>
      <c r="HD5" t="e">
        <f>AND('WJP Rule of Law Index 2012-2013'!AH24,"AAAAAH/29dM=")</f>
        <v>#VALUE!</v>
      </c>
      <c r="HE5" t="e">
        <f>AND('WJP Rule of Law Index 2012-2013'!AI24,"AAAAAH/29dQ=")</f>
        <v>#VALUE!</v>
      </c>
      <c r="HF5" t="e">
        <f>AND('WJP Rule of Law Index 2012-2013'!AJ24,"AAAAAH/29dU=")</f>
        <v>#VALUE!</v>
      </c>
      <c r="HG5" t="e">
        <f>AND('WJP Rule of Law Index 2012-2013'!AK24,"AAAAAH/29dY=")</f>
        <v>#VALUE!</v>
      </c>
      <c r="HH5" t="e">
        <f>AND('WJP Rule of Law Index 2012-2013'!AL24,"AAAAAH/29dc=")</f>
        <v>#VALUE!</v>
      </c>
      <c r="HI5" t="e">
        <f>AND('WJP Rule of Law Index 2012-2013'!AM24,"AAAAAH/29dg=")</f>
        <v>#VALUE!</v>
      </c>
      <c r="HJ5" t="e">
        <f>AND('WJP Rule of Law Index 2012-2013'!AN24,"AAAAAH/29dk=")</f>
        <v>#VALUE!</v>
      </c>
      <c r="HK5" t="e">
        <f>AND('WJP Rule of Law Index 2012-2013'!AO24,"AAAAAH/29do=")</f>
        <v>#VALUE!</v>
      </c>
      <c r="HL5" t="e">
        <f>AND('WJP Rule of Law Index 2012-2013'!AP24,"AAAAAH/29ds=")</f>
        <v>#VALUE!</v>
      </c>
      <c r="HM5" t="e">
        <f>AND('WJP Rule of Law Index 2012-2013'!AQ24,"AAAAAH/29dw=")</f>
        <v>#VALUE!</v>
      </c>
      <c r="HN5" t="e">
        <f>AND('WJP Rule of Law Index 2012-2013'!AR24,"AAAAAH/29d0=")</f>
        <v>#VALUE!</v>
      </c>
      <c r="HO5" t="e">
        <f>AND('WJP Rule of Law Index 2012-2013'!AS24,"AAAAAH/29d4=")</f>
        <v>#VALUE!</v>
      </c>
      <c r="HP5" t="e">
        <f>AND('WJP Rule of Law Index 2012-2013'!AT24,"AAAAAH/29d8=")</f>
        <v>#VALUE!</v>
      </c>
      <c r="HQ5">
        <f>IF('WJP Rule of Law Index 2012-2013'!25:25,"AAAAAH/29eA=",0)</f>
        <v>0</v>
      </c>
      <c r="HR5" t="e">
        <f>AND('WJP Rule of Law Index 2012-2013'!A25,"AAAAAH/29eE=")</f>
        <v>#VALUE!</v>
      </c>
      <c r="HS5" t="e">
        <f>AND('WJP Rule of Law Index 2012-2013'!B25,"AAAAAH/29eI=")</f>
        <v>#VALUE!</v>
      </c>
      <c r="HT5" t="e">
        <f>AND('WJP Rule of Law Index 2012-2013'!#REF!,"AAAAAH/29eM=")</f>
        <v>#REF!</v>
      </c>
      <c r="HU5" t="e">
        <f>AND('WJP Rule of Law Index 2012-2013'!C25,"AAAAAH/29eQ=")</f>
        <v>#VALUE!</v>
      </c>
      <c r="HV5" t="e">
        <f>AND('WJP Rule of Law Index 2012-2013'!#REF!,"AAAAAH/29eU=")</f>
        <v>#REF!</v>
      </c>
      <c r="HW5" t="e">
        <f>AND('WJP Rule of Law Index 2012-2013'!D25,"AAAAAH/29eY=")</f>
        <v>#VALUE!</v>
      </c>
      <c r="HX5" t="e">
        <f>AND('WJP Rule of Law Index 2012-2013'!E25,"AAAAAH/29ec=")</f>
        <v>#VALUE!</v>
      </c>
      <c r="HY5" t="e">
        <f>AND('WJP Rule of Law Index 2012-2013'!F25,"AAAAAH/29eg=")</f>
        <v>#VALUE!</v>
      </c>
      <c r="HZ5" t="e">
        <f>AND('WJP Rule of Law Index 2012-2013'!G25,"AAAAAH/29ek=")</f>
        <v>#VALUE!</v>
      </c>
      <c r="IA5" t="e">
        <f>AND('WJP Rule of Law Index 2012-2013'!H25,"AAAAAH/29eo=")</f>
        <v>#VALUE!</v>
      </c>
      <c r="IB5" t="e">
        <f>AND('WJP Rule of Law Index 2012-2013'!I25,"AAAAAH/29es=")</f>
        <v>#VALUE!</v>
      </c>
      <c r="IC5" t="e">
        <f>AND('WJP Rule of Law Index 2012-2013'!J25,"AAAAAH/29ew=")</f>
        <v>#VALUE!</v>
      </c>
      <c r="ID5" t="e">
        <f>AND('WJP Rule of Law Index 2012-2013'!K25,"AAAAAH/29e0=")</f>
        <v>#VALUE!</v>
      </c>
      <c r="IE5" t="e">
        <f>AND('WJP Rule of Law Index 2012-2013'!#REF!,"AAAAAH/29e4=")</f>
        <v>#REF!</v>
      </c>
      <c r="IF5" t="e">
        <f>AND('WJP Rule of Law Index 2012-2013'!#REF!,"AAAAAH/29e8=")</f>
        <v>#REF!</v>
      </c>
      <c r="IG5" t="e">
        <f>AND('WJP Rule of Law Index 2012-2013'!#REF!,"AAAAAH/29fA=")</f>
        <v>#REF!</v>
      </c>
      <c r="IH5" t="e">
        <f>AND('WJP Rule of Law Index 2012-2013'!P25,"AAAAAH/29fE=")</f>
        <v>#VALUE!</v>
      </c>
      <c r="II5" t="e">
        <f>AND('WJP Rule of Law Index 2012-2013'!Q25,"AAAAAH/29fI=")</f>
        <v>#VALUE!</v>
      </c>
      <c r="IJ5" t="e">
        <f>AND('WJP Rule of Law Index 2012-2013'!R25,"AAAAAH/29fM=")</f>
        <v>#VALUE!</v>
      </c>
      <c r="IK5" t="e">
        <f>AND('WJP Rule of Law Index 2012-2013'!S25,"AAAAAH/29fQ=")</f>
        <v>#VALUE!</v>
      </c>
      <c r="IL5" t="e">
        <f>AND('WJP Rule of Law Index 2012-2013'!T25,"AAAAAH/29fU=")</f>
        <v>#VALUE!</v>
      </c>
      <c r="IM5" t="e">
        <f>AND('WJP Rule of Law Index 2012-2013'!U25,"AAAAAH/29fY=")</f>
        <v>#VALUE!</v>
      </c>
      <c r="IN5" t="e">
        <f>AND('WJP Rule of Law Index 2012-2013'!V25,"AAAAAH/29fc=")</f>
        <v>#VALUE!</v>
      </c>
      <c r="IO5" t="e">
        <f>AND('WJP Rule of Law Index 2012-2013'!W25,"AAAAAH/29fg=")</f>
        <v>#VALUE!</v>
      </c>
      <c r="IP5" t="e">
        <f>AND('WJP Rule of Law Index 2012-2013'!X25,"AAAAAH/29fk=")</f>
        <v>#VALUE!</v>
      </c>
      <c r="IQ5" t="e">
        <f>AND('WJP Rule of Law Index 2012-2013'!Y25,"AAAAAH/29fo=")</f>
        <v>#VALUE!</v>
      </c>
      <c r="IR5" t="e">
        <f>AND('WJP Rule of Law Index 2012-2013'!Z25,"AAAAAH/29fs=")</f>
        <v>#VALUE!</v>
      </c>
      <c r="IS5" t="e">
        <f>AND('WJP Rule of Law Index 2012-2013'!AA25,"AAAAAH/29fw=")</f>
        <v>#VALUE!</v>
      </c>
      <c r="IT5" t="e">
        <f>AND('WJP Rule of Law Index 2012-2013'!AB25,"AAAAAH/29f0=")</f>
        <v>#VALUE!</v>
      </c>
      <c r="IU5" t="e">
        <f>AND('WJP Rule of Law Index 2012-2013'!AC25,"AAAAAH/29f4=")</f>
        <v>#VALUE!</v>
      </c>
      <c r="IV5" t="e">
        <f>AND('WJP Rule of Law Index 2012-2013'!AD25,"AAAAAH/29f8=")</f>
        <v>#VALUE!</v>
      </c>
    </row>
    <row r="6" spans="1:256" ht="15">
      <c r="A6" t="e">
        <f>AND('WJP Rule of Law Index 2012-2013'!AE25,"AAAAAHt6bwA=")</f>
        <v>#VALUE!</v>
      </c>
      <c r="B6" t="e">
        <f>AND('WJP Rule of Law Index 2012-2013'!AF25,"AAAAAHt6bwE=")</f>
        <v>#VALUE!</v>
      </c>
      <c r="C6" t="e">
        <f>AND('WJP Rule of Law Index 2012-2013'!AG25,"AAAAAHt6bwI=")</f>
        <v>#VALUE!</v>
      </c>
      <c r="D6" t="e">
        <f>AND('WJP Rule of Law Index 2012-2013'!#REF!,"AAAAAHt6bwM=")</f>
        <v>#REF!</v>
      </c>
      <c r="E6" t="e">
        <f>AND('WJP Rule of Law Index 2012-2013'!#REF!,"AAAAAHt6bwQ=")</f>
        <v>#REF!</v>
      </c>
      <c r="F6" t="e">
        <f>AND('WJP Rule of Law Index 2012-2013'!AH25,"AAAAAHt6bwU=")</f>
        <v>#VALUE!</v>
      </c>
      <c r="G6" t="e">
        <f>AND('WJP Rule of Law Index 2012-2013'!AI25,"AAAAAHt6bwY=")</f>
        <v>#VALUE!</v>
      </c>
      <c r="H6" t="e">
        <f>AND('WJP Rule of Law Index 2012-2013'!AJ25,"AAAAAHt6bwc=")</f>
        <v>#VALUE!</v>
      </c>
      <c r="I6" t="e">
        <f>AND('WJP Rule of Law Index 2012-2013'!AK25,"AAAAAHt6bwg=")</f>
        <v>#VALUE!</v>
      </c>
      <c r="J6" t="e">
        <f>AND('WJP Rule of Law Index 2012-2013'!AL25,"AAAAAHt6bwk=")</f>
        <v>#VALUE!</v>
      </c>
      <c r="K6" t="e">
        <f>AND('WJP Rule of Law Index 2012-2013'!AM25,"AAAAAHt6bwo=")</f>
        <v>#VALUE!</v>
      </c>
      <c r="L6" t="e">
        <f>AND('WJP Rule of Law Index 2012-2013'!AN25,"AAAAAHt6bws=")</f>
        <v>#VALUE!</v>
      </c>
      <c r="M6" t="e">
        <f>AND('WJP Rule of Law Index 2012-2013'!AO25,"AAAAAHt6bww=")</f>
        <v>#VALUE!</v>
      </c>
      <c r="N6" t="e">
        <f>AND('WJP Rule of Law Index 2012-2013'!AP25,"AAAAAHt6bw0=")</f>
        <v>#VALUE!</v>
      </c>
      <c r="O6" t="e">
        <f>AND('WJP Rule of Law Index 2012-2013'!AQ25,"AAAAAHt6bw4=")</f>
        <v>#VALUE!</v>
      </c>
      <c r="P6" t="e">
        <f>AND('WJP Rule of Law Index 2012-2013'!AR25,"AAAAAHt6bw8=")</f>
        <v>#VALUE!</v>
      </c>
      <c r="Q6" t="e">
        <f>AND('WJP Rule of Law Index 2012-2013'!AS25,"AAAAAHt6bxA=")</f>
        <v>#VALUE!</v>
      </c>
      <c r="R6" t="e">
        <f>AND('WJP Rule of Law Index 2012-2013'!AT25,"AAAAAHt6bxE=")</f>
        <v>#VALUE!</v>
      </c>
      <c r="S6" t="str">
        <f>IF('WJP Rule of Law Index 2012-2013'!26:26,"AAAAAHt6bxI=",0)</f>
        <v>AAAAAHt6bxI=</v>
      </c>
      <c r="T6" t="e">
        <f>AND('WJP Rule of Law Index 2012-2013'!A26,"AAAAAHt6bxM=")</f>
        <v>#VALUE!</v>
      </c>
      <c r="U6" t="e">
        <f>AND('WJP Rule of Law Index 2012-2013'!B26,"AAAAAHt6bxQ=")</f>
        <v>#VALUE!</v>
      </c>
      <c r="V6" t="e">
        <f>AND('WJP Rule of Law Index 2012-2013'!#REF!,"AAAAAHt6bxU=")</f>
        <v>#REF!</v>
      </c>
      <c r="W6" t="e">
        <f>AND('WJP Rule of Law Index 2012-2013'!C26,"AAAAAHt6bxY=")</f>
        <v>#VALUE!</v>
      </c>
      <c r="X6" t="e">
        <f>AND('WJP Rule of Law Index 2012-2013'!#REF!,"AAAAAHt6bxc=")</f>
        <v>#REF!</v>
      </c>
      <c r="Y6" t="e">
        <f>AND('WJP Rule of Law Index 2012-2013'!D26,"AAAAAHt6bxg=")</f>
        <v>#VALUE!</v>
      </c>
      <c r="Z6" t="e">
        <f>AND('WJP Rule of Law Index 2012-2013'!E26,"AAAAAHt6bxk=")</f>
        <v>#VALUE!</v>
      </c>
      <c r="AA6" t="e">
        <f>AND('WJP Rule of Law Index 2012-2013'!F26,"AAAAAHt6bxo=")</f>
        <v>#VALUE!</v>
      </c>
      <c r="AB6" t="e">
        <f>AND('WJP Rule of Law Index 2012-2013'!G26,"AAAAAHt6bxs=")</f>
        <v>#VALUE!</v>
      </c>
      <c r="AC6" t="e">
        <f>AND('WJP Rule of Law Index 2012-2013'!H26,"AAAAAHt6bxw=")</f>
        <v>#VALUE!</v>
      </c>
      <c r="AD6" t="e">
        <f>AND('WJP Rule of Law Index 2012-2013'!I26,"AAAAAHt6bx0=")</f>
        <v>#VALUE!</v>
      </c>
      <c r="AE6" t="e">
        <f>AND('WJP Rule of Law Index 2012-2013'!J26,"AAAAAHt6bx4=")</f>
        <v>#VALUE!</v>
      </c>
      <c r="AF6" t="e">
        <f>AND('WJP Rule of Law Index 2012-2013'!K26,"AAAAAHt6bx8=")</f>
        <v>#VALUE!</v>
      </c>
      <c r="AG6" t="e">
        <f>AND('WJP Rule of Law Index 2012-2013'!#REF!,"AAAAAHt6byA=")</f>
        <v>#REF!</v>
      </c>
      <c r="AH6" t="e">
        <f>AND('WJP Rule of Law Index 2012-2013'!#REF!,"AAAAAHt6byE=")</f>
        <v>#REF!</v>
      </c>
      <c r="AI6" t="e">
        <f>AND('WJP Rule of Law Index 2012-2013'!#REF!,"AAAAAHt6byI=")</f>
        <v>#REF!</v>
      </c>
      <c r="AJ6" t="e">
        <f>AND('WJP Rule of Law Index 2012-2013'!P26,"AAAAAHt6byM=")</f>
        <v>#VALUE!</v>
      </c>
      <c r="AK6" t="e">
        <f>AND('WJP Rule of Law Index 2012-2013'!Q26,"AAAAAHt6byQ=")</f>
        <v>#VALUE!</v>
      </c>
      <c r="AL6" t="e">
        <f>AND('WJP Rule of Law Index 2012-2013'!R26,"AAAAAHt6byU=")</f>
        <v>#VALUE!</v>
      </c>
      <c r="AM6" t="e">
        <f>AND('WJP Rule of Law Index 2012-2013'!S26,"AAAAAHt6byY=")</f>
        <v>#VALUE!</v>
      </c>
      <c r="AN6" t="e">
        <f>AND('WJP Rule of Law Index 2012-2013'!T26,"AAAAAHt6byc=")</f>
        <v>#VALUE!</v>
      </c>
      <c r="AO6" t="e">
        <f>AND('WJP Rule of Law Index 2012-2013'!U26,"AAAAAHt6byg=")</f>
        <v>#VALUE!</v>
      </c>
      <c r="AP6" t="e">
        <f>AND('WJP Rule of Law Index 2012-2013'!V26,"AAAAAHt6byk=")</f>
        <v>#VALUE!</v>
      </c>
      <c r="AQ6" t="e">
        <f>AND('WJP Rule of Law Index 2012-2013'!W26,"AAAAAHt6byo=")</f>
        <v>#VALUE!</v>
      </c>
      <c r="AR6" t="e">
        <f>AND('WJP Rule of Law Index 2012-2013'!X26,"AAAAAHt6bys=")</f>
        <v>#VALUE!</v>
      </c>
      <c r="AS6" t="e">
        <f>AND('WJP Rule of Law Index 2012-2013'!Y26,"AAAAAHt6byw=")</f>
        <v>#VALUE!</v>
      </c>
      <c r="AT6" t="e">
        <f>AND('WJP Rule of Law Index 2012-2013'!Z26,"AAAAAHt6by0=")</f>
        <v>#VALUE!</v>
      </c>
      <c r="AU6" t="e">
        <f>AND('WJP Rule of Law Index 2012-2013'!AA26,"AAAAAHt6by4=")</f>
        <v>#VALUE!</v>
      </c>
      <c r="AV6" t="e">
        <f>AND('WJP Rule of Law Index 2012-2013'!AB26,"AAAAAHt6by8=")</f>
        <v>#VALUE!</v>
      </c>
      <c r="AW6" t="e">
        <f>AND('WJP Rule of Law Index 2012-2013'!AC26,"AAAAAHt6bzA=")</f>
        <v>#VALUE!</v>
      </c>
      <c r="AX6" t="e">
        <f>AND('WJP Rule of Law Index 2012-2013'!AD26,"AAAAAHt6bzE=")</f>
        <v>#VALUE!</v>
      </c>
      <c r="AY6" t="e">
        <f>AND('WJP Rule of Law Index 2012-2013'!AE26,"AAAAAHt6bzI=")</f>
        <v>#VALUE!</v>
      </c>
      <c r="AZ6" t="e">
        <f>AND('WJP Rule of Law Index 2012-2013'!AF26,"AAAAAHt6bzM=")</f>
        <v>#VALUE!</v>
      </c>
      <c r="BA6" t="e">
        <f>AND('WJP Rule of Law Index 2012-2013'!AG26,"AAAAAHt6bzQ=")</f>
        <v>#VALUE!</v>
      </c>
      <c r="BB6" t="e">
        <f>AND('WJP Rule of Law Index 2012-2013'!#REF!,"AAAAAHt6bzU=")</f>
        <v>#REF!</v>
      </c>
      <c r="BC6" t="e">
        <f>AND('WJP Rule of Law Index 2012-2013'!#REF!,"AAAAAHt6bzY=")</f>
        <v>#REF!</v>
      </c>
      <c r="BD6" t="e">
        <f>AND('WJP Rule of Law Index 2012-2013'!AH26,"AAAAAHt6bzc=")</f>
        <v>#VALUE!</v>
      </c>
      <c r="BE6" t="e">
        <f>AND('WJP Rule of Law Index 2012-2013'!AI26,"AAAAAHt6bzg=")</f>
        <v>#VALUE!</v>
      </c>
      <c r="BF6" t="e">
        <f>AND('WJP Rule of Law Index 2012-2013'!AJ26,"AAAAAHt6bzk=")</f>
        <v>#VALUE!</v>
      </c>
      <c r="BG6" t="e">
        <f>AND('WJP Rule of Law Index 2012-2013'!AK26,"AAAAAHt6bzo=")</f>
        <v>#VALUE!</v>
      </c>
      <c r="BH6" t="e">
        <f>AND('WJP Rule of Law Index 2012-2013'!AL26,"AAAAAHt6bzs=")</f>
        <v>#VALUE!</v>
      </c>
      <c r="BI6" t="e">
        <f>AND('WJP Rule of Law Index 2012-2013'!AM26,"AAAAAHt6bzw=")</f>
        <v>#VALUE!</v>
      </c>
      <c r="BJ6" t="e">
        <f>AND('WJP Rule of Law Index 2012-2013'!AN26,"AAAAAHt6bz0=")</f>
        <v>#VALUE!</v>
      </c>
      <c r="BK6" t="e">
        <f>AND('WJP Rule of Law Index 2012-2013'!AO26,"AAAAAHt6bz4=")</f>
        <v>#VALUE!</v>
      </c>
      <c r="BL6" t="e">
        <f>AND('WJP Rule of Law Index 2012-2013'!AP26,"AAAAAHt6bz8=")</f>
        <v>#VALUE!</v>
      </c>
      <c r="BM6" t="e">
        <f>AND('WJP Rule of Law Index 2012-2013'!AQ26,"AAAAAHt6b0A=")</f>
        <v>#VALUE!</v>
      </c>
      <c r="BN6" t="e">
        <f>AND('WJP Rule of Law Index 2012-2013'!AR26,"AAAAAHt6b0E=")</f>
        <v>#VALUE!</v>
      </c>
      <c r="BO6" t="e">
        <f>AND('WJP Rule of Law Index 2012-2013'!AS26,"AAAAAHt6b0I=")</f>
        <v>#VALUE!</v>
      </c>
      <c r="BP6" t="e">
        <f>AND('WJP Rule of Law Index 2012-2013'!AT26,"AAAAAHt6b0M=")</f>
        <v>#VALUE!</v>
      </c>
      <c r="BQ6">
        <f>IF('WJP Rule of Law Index 2012-2013'!27:27,"AAAAAHt6b0Q=",0)</f>
        <v>0</v>
      </c>
      <c r="BR6" t="e">
        <f>AND('WJP Rule of Law Index 2012-2013'!A27,"AAAAAHt6b0U=")</f>
        <v>#VALUE!</v>
      </c>
      <c r="BS6" t="e">
        <f>AND('WJP Rule of Law Index 2012-2013'!B27,"AAAAAHt6b0Y=")</f>
        <v>#VALUE!</v>
      </c>
      <c r="BT6" t="e">
        <f>AND('WJP Rule of Law Index 2012-2013'!#REF!,"AAAAAHt6b0c=")</f>
        <v>#REF!</v>
      </c>
      <c r="BU6" t="e">
        <f>AND('WJP Rule of Law Index 2012-2013'!C27,"AAAAAHt6b0g=")</f>
        <v>#VALUE!</v>
      </c>
      <c r="BV6" t="e">
        <f>AND('WJP Rule of Law Index 2012-2013'!#REF!,"AAAAAHt6b0k=")</f>
        <v>#REF!</v>
      </c>
      <c r="BW6" t="e">
        <f>AND('WJP Rule of Law Index 2012-2013'!D27,"AAAAAHt6b0o=")</f>
        <v>#VALUE!</v>
      </c>
      <c r="BX6" t="e">
        <f>AND('WJP Rule of Law Index 2012-2013'!E27,"AAAAAHt6b0s=")</f>
        <v>#VALUE!</v>
      </c>
      <c r="BY6" t="e">
        <f>AND('WJP Rule of Law Index 2012-2013'!F27,"AAAAAHt6b0w=")</f>
        <v>#VALUE!</v>
      </c>
      <c r="BZ6" t="e">
        <f>AND('WJP Rule of Law Index 2012-2013'!G27,"AAAAAHt6b00=")</f>
        <v>#VALUE!</v>
      </c>
      <c r="CA6" t="e">
        <f>AND('WJP Rule of Law Index 2012-2013'!H27,"AAAAAHt6b04=")</f>
        <v>#VALUE!</v>
      </c>
      <c r="CB6" t="e">
        <f>AND('WJP Rule of Law Index 2012-2013'!I27,"AAAAAHt6b08=")</f>
        <v>#VALUE!</v>
      </c>
      <c r="CC6" t="e">
        <f>AND('WJP Rule of Law Index 2012-2013'!J27,"AAAAAHt6b1A=")</f>
        <v>#VALUE!</v>
      </c>
      <c r="CD6" t="e">
        <f>AND('WJP Rule of Law Index 2012-2013'!K27,"AAAAAHt6b1E=")</f>
        <v>#VALUE!</v>
      </c>
      <c r="CE6" t="e">
        <f>AND('WJP Rule of Law Index 2012-2013'!#REF!,"AAAAAHt6b1I=")</f>
        <v>#REF!</v>
      </c>
      <c r="CF6" t="e">
        <f>AND('WJP Rule of Law Index 2012-2013'!#REF!,"AAAAAHt6b1M=")</f>
        <v>#REF!</v>
      </c>
      <c r="CG6" t="e">
        <f>AND('WJP Rule of Law Index 2012-2013'!#REF!,"AAAAAHt6b1Q=")</f>
        <v>#REF!</v>
      </c>
      <c r="CH6" t="e">
        <f>AND('WJP Rule of Law Index 2012-2013'!P27,"AAAAAHt6b1U=")</f>
        <v>#VALUE!</v>
      </c>
      <c r="CI6" t="e">
        <f>AND('WJP Rule of Law Index 2012-2013'!Q27,"AAAAAHt6b1Y=")</f>
        <v>#VALUE!</v>
      </c>
      <c r="CJ6" t="e">
        <f>AND('WJP Rule of Law Index 2012-2013'!R27,"AAAAAHt6b1c=")</f>
        <v>#VALUE!</v>
      </c>
      <c r="CK6" t="e">
        <f>AND('WJP Rule of Law Index 2012-2013'!S27,"AAAAAHt6b1g=")</f>
        <v>#VALUE!</v>
      </c>
      <c r="CL6" t="e">
        <f>AND('WJP Rule of Law Index 2012-2013'!T27,"AAAAAHt6b1k=")</f>
        <v>#VALUE!</v>
      </c>
      <c r="CM6" t="e">
        <f>AND('WJP Rule of Law Index 2012-2013'!U27,"AAAAAHt6b1o=")</f>
        <v>#VALUE!</v>
      </c>
      <c r="CN6" t="e">
        <f>AND('WJP Rule of Law Index 2012-2013'!V27,"AAAAAHt6b1s=")</f>
        <v>#VALUE!</v>
      </c>
      <c r="CO6" t="e">
        <f>AND('WJP Rule of Law Index 2012-2013'!W27,"AAAAAHt6b1w=")</f>
        <v>#VALUE!</v>
      </c>
      <c r="CP6" t="e">
        <f>AND('WJP Rule of Law Index 2012-2013'!X27,"AAAAAHt6b10=")</f>
        <v>#VALUE!</v>
      </c>
      <c r="CQ6" t="e">
        <f>AND('WJP Rule of Law Index 2012-2013'!Y27,"AAAAAHt6b14=")</f>
        <v>#VALUE!</v>
      </c>
      <c r="CR6" t="e">
        <f>AND('WJP Rule of Law Index 2012-2013'!Z27,"AAAAAHt6b18=")</f>
        <v>#VALUE!</v>
      </c>
      <c r="CS6" t="e">
        <f>AND('WJP Rule of Law Index 2012-2013'!AA27,"AAAAAHt6b2A=")</f>
        <v>#VALUE!</v>
      </c>
      <c r="CT6" t="e">
        <f>AND('WJP Rule of Law Index 2012-2013'!AB27,"AAAAAHt6b2E=")</f>
        <v>#VALUE!</v>
      </c>
      <c r="CU6" t="e">
        <f>AND('WJP Rule of Law Index 2012-2013'!AC27,"AAAAAHt6b2I=")</f>
        <v>#VALUE!</v>
      </c>
      <c r="CV6" t="e">
        <f>AND('WJP Rule of Law Index 2012-2013'!AD27,"AAAAAHt6b2M=")</f>
        <v>#VALUE!</v>
      </c>
      <c r="CW6" t="e">
        <f>AND('WJP Rule of Law Index 2012-2013'!AE27,"AAAAAHt6b2Q=")</f>
        <v>#VALUE!</v>
      </c>
      <c r="CX6" t="e">
        <f>AND('WJP Rule of Law Index 2012-2013'!AF27,"AAAAAHt6b2U=")</f>
        <v>#VALUE!</v>
      </c>
      <c r="CY6" t="e">
        <f>AND('WJP Rule of Law Index 2012-2013'!AG27,"AAAAAHt6b2Y=")</f>
        <v>#VALUE!</v>
      </c>
      <c r="CZ6" t="e">
        <f>AND('WJP Rule of Law Index 2012-2013'!#REF!,"AAAAAHt6b2c=")</f>
        <v>#REF!</v>
      </c>
      <c r="DA6" t="e">
        <f>AND('WJP Rule of Law Index 2012-2013'!#REF!,"AAAAAHt6b2g=")</f>
        <v>#REF!</v>
      </c>
      <c r="DB6" t="e">
        <f>AND('WJP Rule of Law Index 2012-2013'!AH27,"AAAAAHt6b2k=")</f>
        <v>#VALUE!</v>
      </c>
      <c r="DC6" t="e">
        <f>AND('WJP Rule of Law Index 2012-2013'!AI27,"AAAAAHt6b2o=")</f>
        <v>#VALUE!</v>
      </c>
      <c r="DD6" t="e">
        <f>AND('WJP Rule of Law Index 2012-2013'!AJ27,"AAAAAHt6b2s=")</f>
        <v>#VALUE!</v>
      </c>
      <c r="DE6" t="e">
        <f>AND('WJP Rule of Law Index 2012-2013'!AK27,"AAAAAHt6b2w=")</f>
        <v>#VALUE!</v>
      </c>
      <c r="DF6" t="e">
        <f>AND('WJP Rule of Law Index 2012-2013'!AL27,"AAAAAHt6b20=")</f>
        <v>#VALUE!</v>
      </c>
      <c r="DG6" t="e">
        <f>AND('WJP Rule of Law Index 2012-2013'!AM27,"AAAAAHt6b24=")</f>
        <v>#VALUE!</v>
      </c>
      <c r="DH6" t="e">
        <f>AND('WJP Rule of Law Index 2012-2013'!AN27,"AAAAAHt6b28=")</f>
        <v>#VALUE!</v>
      </c>
      <c r="DI6" t="e">
        <f>AND('WJP Rule of Law Index 2012-2013'!AO27,"AAAAAHt6b3A=")</f>
        <v>#VALUE!</v>
      </c>
      <c r="DJ6" t="e">
        <f>AND('WJP Rule of Law Index 2012-2013'!AP27,"AAAAAHt6b3E=")</f>
        <v>#VALUE!</v>
      </c>
      <c r="DK6" t="e">
        <f>AND('WJP Rule of Law Index 2012-2013'!AQ27,"AAAAAHt6b3I=")</f>
        <v>#VALUE!</v>
      </c>
      <c r="DL6" t="e">
        <f>AND('WJP Rule of Law Index 2012-2013'!AR27,"AAAAAHt6b3M=")</f>
        <v>#VALUE!</v>
      </c>
      <c r="DM6" t="e">
        <f>AND('WJP Rule of Law Index 2012-2013'!AS27,"AAAAAHt6b3Q=")</f>
        <v>#VALUE!</v>
      </c>
      <c r="DN6" t="e">
        <f>AND('WJP Rule of Law Index 2012-2013'!AT27,"AAAAAHt6b3U=")</f>
        <v>#VALUE!</v>
      </c>
      <c r="DO6">
        <f>IF('WJP Rule of Law Index 2012-2013'!28:28,"AAAAAHt6b3Y=",0)</f>
        <v>0</v>
      </c>
      <c r="DP6" t="e">
        <f>AND('WJP Rule of Law Index 2012-2013'!A28,"AAAAAHt6b3c=")</f>
        <v>#VALUE!</v>
      </c>
      <c r="DQ6" t="e">
        <f>AND('WJP Rule of Law Index 2012-2013'!B28,"AAAAAHt6b3g=")</f>
        <v>#VALUE!</v>
      </c>
      <c r="DR6" t="e">
        <f>AND('WJP Rule of Law Index 2012-2013'!#REF!,"AAAAAHt6b3k=")</f>
        <v>#REF!</v>
      </c>
      <c r="DS6" t="e">
        <f>AND('WJP Rule of Law Index 2012-2013'!C28,"AAAAAHt6b3o=")</f>
        <v>#VALUE!</v>
      </c>
      <c r="DT6" t="e">
        <f>AND('WJP Rule of Law Index 2012-2013'!#REF!,"AAAAAHt6b3s=")</f>
        <v>#REF!</v>
      </c>
      <c r="DU6" t="e">
        <f>AND('WJP Rule of Law Index 2012-2013'!D28,"AAAAAHt6b3w=")</f>
        <v>#VALUE!</v>
      </c>
      <c r="DV6" t="e">
        <f>AND('WJP Rule of Law Index 2012-2013'!E28,"AAAAAHt6b30=")</f>
        <v>#VALUE!</v>
      </c>
      <c r="DW6" t="e">
        <f>AND('WJP Rule of Law Index 2012-2013'!F28,"AAAAAHt6b34=")</f>
        <v>#VALUE!</v>
      </c>
      <c r="DX6" t="e">
        <f>AND('WJP Rule of Law Index 2012-2013'!G28,"AAAAAHt6b38=")</f>
        <v>#VALUE!</v>
      </c>
      <c r="DY6" t="e">
        <f>AND('WJP Rule of Law Index 2012-2013'!H28,"AAAAAHt6b4A=")</f>
        <v>#VALUE!</v>
      </c>
      <c r="DZ6" t="e">
        <f>AND('WJP Rule of Law Index 2012-2013'!I28,"AAAAAHt6b4E=")</f>
        <v>#VALUE!</v>
      </c>
      <c r="EA6" t="e">
        <f>AND('WJP Rule of Law Index 2012-2013'!J28,"AAAAAHt6b4I=")</f>
        <v>#VALUE!</v>
      </c>
      <c r="EB6" t="e">
        <f>AND('WJP Rule of Law Index 2012-2013'!K28,"AAAAAHt6b4M=")</f>
        <v>#VALUE!</v>
      </c>
      <c r="EC6" t="e">
        <f>AND('WJP Rule of Law Index 2012-2013'!#REF!,"AAAAAHt6b4Q=")</f>
        <v>#REF!</v>
      </c>
      <c r="ED6" t="e">
        <f>AND('WJP Rule of Law Index 2012-2013'!#REF!,"AAAAAHt6b4U=")</f>
        <v>#REF!</v>
      </c>
      <c r="EE6" t="e">
        <f>AND('WJP Rule of Law Index 2012-2013'!#REF!,"AAAAAHt6b4Y=")</f>
        <v>#REF!</v>
      </c>
      <c r="EF6" t="e">
        <f>AND('WJP Rule of Law Index 2012-2013'!P28,"AAAAAHt6b4c=")</f>
        <v>#VALUE!</v>
      </c>
      <c r="EG6" t="e">
        <f>AND('WJP Rule of Law Index 2012-2013'!Q28,"AAAAAHt6b4g=")</f>
        <v>#VALUE!</v>
      </c>
      <c r="EH6" t="e">
        <f>AND('WJP Rule of Law Index 2012-2013'!R28,"AAAAAHt6b4k=")</f>
        <v>#VALUE!</v>
      </c>
      <c r="EI6" t="e">
        <f>AND('WJP Rule of Law Index 2012-2013'!S28,"AAAAAHt6b4o=")</f>
        <v>#VALUE!</v>
      </c>
      <c r="EJ6" t="e">
        <f>AND('WJP Rule of Law Index 2012-2013'!T28,"AAAAAHt6b4s=")</f>
        <v>#VALUE!</v>
      </c>
      <c r="EK6" t="e">
        <f>AND('WJP Rule of Law Index 2012-2013'!U28,"AAAAAHt6b4w=")</f>
        <v>#VALUE!</v>
      </c>
      <c r="EL6" t="e">
        <f>AND('WJP Rule of Law Index 2012-2013'!V28,"AAAAAHt6b40=")</f>
        <v>#VALUE!</v>
      </c>
      <c r="EM6" t="e">
        <f>AND('WJP Rule of Law Index 2012-2013'!W28,"AAAAAHt6b44=")</f>
        <v>#VALUE!</v>
      </c>
      <c r="EN6" t="e">
        <f>AND('WJP Rule of Law Index 2012-2013'!X28,"AAAAAHt6b48=")</f>
        <v>#VALUE!</v>
      </c>
      <c r="EO6" t="e">
        <f>AND('WJP Rule of Law Index 2012-2013'!Y28,"AAAAAHt6b5A=")</f>
        <v>#VALUE!</v>
      </c>
      <c r="EP6" t="e">
        <f>AND('WJP Rule of Law Index 2012-2013'!Z28,"AAAAAHt6b5E=")</f>
        <v>#VALUE!</v>
      </c>
      <c r="EQ6" t="e">
        <f>AND('WJP Rule of Law Index 2012-2013'!AA28,"AAAAAHt6b5I=")</f>
        <v>#VALUE!</v>
      </c>
      <c r="ER6" t="e">
        <f>AND('WJP Rule of Law Index 2012-2013'!AB28,"AAAAAHt6b5M=")</f>
        <v>#VALUE!</v>
      </c>
      <c r="ES6" t="e">
        <f>AND('WJP Rule of Law Index 2012-2013'!AC28,"AAAAAHt6b5Q=")</f>
        <v>#VALUE!</v>
      </c>
      <c r="ET6" t="e">
        <f>AND('WJP Rule of Law Index 2012-2013'!AD28,"AAAAAHt6b5U=")</f>
        <v>#VALUE!</v>
      </c>
      <c r="EU6" t="e">
        <f>AND('WJP Rule of Law Index 2012-2013'!AE28,"AAAAAHt6b5Y=")</f>
        <v>#VALUE!</v>
      </c>
      <c r="EV6" t="e">
        <f>AND('WJP Rule of Law Index 2012-2013'!AF28,"AAAAAHt6b5c=")</f>
        <v>#VALUE!</v>
      </c>
      <c r="EW6" t="e">
        <f>AND('WJP Rule of Law Index 2012-2013'!AG28,"AAAAAHt6b5g=")</f>
        <v>#VALUE!</v>
      </c>
      <c r="EX6" t="e">
        <f>AND('WJP Rule of Law Index 2012-2013'!#REF!,"AAAAAHt6b5k=")</f>
        <v>#REF!</v>
      </c>
      <c r="EY6" t="e">
        <f>AND('WJP Rule of Law Index 2012-2013'!#REF!,"AAAAAHt6b5o=")</f>
        <v>#REF!</v>
      </c>
      <c r="EZ6" t="e">
        <f>AND('WJP Rule of Law Index 2012-2013'!AH28,"AAAAAHt6b5s=")</f>
        <v>#VALUE!</v>
      </c>
      <c r="FA6" t="e">
        <f>AND('WJP Rule of Law Index 2012-2013'!AI28,"AAAAAHt6b5w=")</f>
        <v>#VALUE!</v>
      </c>
      <c r="FB6" t="e">
        <f>AND('WJP Rule of Law Index 2012-2013'!AJ28,"AAAAAHt6b50=")</f>
        <v>#VALUE!</v>
      </c>
      <c r="FC6" t="e">
        <f>AND('WJP Rule of Law Index 2012-2013'!AK28,"AAAAAHt6b54=")</f>
        <v>#VALUE!</v>
      </c>
      <c r="FD6" t="e">
        <f>AND('WJP Rule of Law Index 2012-2013'!AL28,"AAAAAHt6b58=")</f>
        <v>#VALUE!</v>
      </c>
      <c r="FE6" t="e">
        <f>AND('WJP Rule of Law Index 2012-2013'!AM28,"AAAAAHt6b6A=")</f>
        <v>#VALUE!</v>
      </c>
      <c r="FF6" t="e">
        <f>AND('WJP Rule of Law Index 2012-2013'!AN28,"AAAAAHt6b6E=")</f>
        <v>#VALUE!</v>
      </c>
      <c r="FG6" t="e">
        <f>AND('WJP Rule of Law Index 2012-2013'!AO28,"AAAAAHt6b6I=")</f>
        <v>#VALUE!</v>
      </c>
      <c r="FH6" t="e">
        <f>AND('WJP Rule of Law Index 2012-2013'!AP28,"AAAAAHt6b6M=")</f>
        <v>#VALUE!</v>
      </c>
      <c r="FI6" t="e">
        <f>AND('WJP Rule of Law Index 2012-2013'!AQ28,"AAAAAHt6b6Q=")</f>
        <v>#VALUE!</v>
      </c>
      <c r="FJ6" t="e">
        <f>AND('WJP Rule of Law Index 2012-2013'!AR28,"AAAAAHt6b6U=")</f>
        <v>#VALUE!</v>
      </c>
      <c r="FK6" t="e">
        <f>AND('WJP Rule of Law Index 2012-2013'!AS28,"AAAAAHt6b6Y=")</f>
        <v>#VALUE!</v>
      </c>
      <c r="FL6" t="e">
        <f>AND('WJP Rule of Law Index 2012-2013'!AT28,"AAAAAHt6b6c=")</f>
        <v>#VALUE!</v>
      </c>
      <c r="FM6">
        <f>IF('WJP Rule of Law Index 2012-2013'!29:29,"AAAAAHt6b6g=",0)</f>
        <v>0</v>
      </c>
      <c r="FN6" t="e">
        <f>AND('WJP Rule of Law Index 2012-2013'!A29,"AAAAAHt6b6k=")</f>
        <v>#VALUE!</v>
      </c>
      <c r="FO6" t="e">
        <f>AND('WJP Rule of Law Index 2012-2013'!B29,"AAAAAHt6b6o=")</f>
        <v>#VALUE!</v>
      </c>
      <c r="FP6" t="e">
        <f>AND('WJP Rule of Law Index 2012-2013'!#REF!,"AAAAAHt6b6s=")</f>
        <v>#REF!</v>
      </c>
      <c r="FQ6" t="e">
        <f>AND('WJP Rule of Law Index 2012-2013'!C29,"AAAAAHt6b6w=")</f>
        <v>#VALUE!</v>
      </c>
      <c r="FR6" t="e">
        <f>AND('WJP Rule of Law Index 2012-2013'!#REF!,"AAAAAHt6b60=")</f>
        <v>#REF!</v>
      </c>
      <c r="FS6" t="e">
        <f>AND('WJP Rule of Law Index 2012-2013'!D29,"AAAAAHt6b64=")</f>
        <v>#VALUE!</v>
      </c>
      <c r="FT6" t="e">
        <f>AND('WJP Rule of Law Index 2012-2013'!E29,"AAAAAHt6b68=")</f>
        <v>#VALUE!</v>
      </c>
      <c r="FU6" t="e">
        <f>AND('WJP Rule of Law Index 2012-2013'!F29,"AAAAAHt6b7A=")</f>
        <v>#VALUE!</v>
      </c>
      <c r="FV6" t="e">
        <f>AND('WJP Rule of Law Index 2012-2013'!G29,"AAAAAHt6b7E=")</f>
        <v>#VALUE!</v>
      </c>
      <c r="FW6" t="e">
        <f>AND('WJP Rule of Law Index 2012-2013'!H29,"AAAAAHt6b7I=")</f>
        <v>#VALUE!</v>
      </c>
      <c r="FX6" t="e">
        <f>AND('WJP Rule of Law Index 2012-2013'!I29,"AAAAAHt6b7M=")</f>
        <v>#VALUE!</v>
      </c>
      <c r="FY6" t="e">
        <f>AND('WJP Rule of Law Index 2012-2013'!J29,"AAAAAHt6b7Q=")</f>
        <v>#VALUE!</v>
      </c>
      <c r="FZ6" t="e">
        <f>AND('WJP Rule of Law Index 2012-2013'!K29,"AAAAAHt6b7U=")</f>
        <v>#VALUE!</v>
      </c>
      <c r="GA6" t="e">
        <f>AND('WJP Rule of Law Index 2012-2013'!#REF!,"AAAAAHt6b7Y=")</f>
        <v>#REF!</v>
      </c>
      <c r="GB6" t="e">
        <f>AND('WJP Rule of Law Index 2012-2013'!#REF!,"AAAAAHt6b7c=")</f>
        <v>#REF!</v>
      </c>
      <c r="GC6" t="e">
        <f>AND('WJP Rule of Law Index 2012-2013'!#REF!,"AAAAAHt6b7g=")</f>
        <v>#REF!</v>
      </c>
      <c r="GD6" t="e">
        <f>AND('WJP Rule of Law Index 2012-2013'!P29,"AAAAAHt6b7k=")</f>
        <v>#VALUE!</v>
      </c>
      <c r="GE6" t="e">
        <f>AND('WJP Rule of Law Index 2012-2013'!Q29,"AAAAAHt6b7o=")</f>
        <v>#VALUE!</v>
      </c>
      <c r="GF6" t="e">
        <f>AND('WJP Rule of Law Index 2012-2013'!R29,"AAAAAHt6b7s=")</f>
        <v>#VALUE!</v>
      </c>
      <c r="GG6" t="e">
        <f>AND('WJP Rule of Law Index 2012-2013'!S29,"AAAAAHt6b7w=")</f>
        <v>#VALUE!</v>
      </c>
      <c r="GH6" t="e">
        <f>AND('WJP Rule of Law Index 2012-2013'!T29,"AAAAAHt6b70=")</f>
        <v>#VALUE!</v>
      </c>
      <c r="GI6" t="e">
        <f>AND('WJP Rule of Law Index 2012-2013'!U29,"AAAAAHt6b74=")</f>
        <v>#VALUE!</v>
      </c>
      <c r="GJ6" t="e">
        <f>AND('WJP Rule of Law Index 2012-2013'!V29,"AAAAAHt6b78=")</f>
        <v>#VALUE!</v>
      </c>
      <c r="GK6" t="e">
        <f>AND('WJP Rule of Law Index 2012-2013'!W29,"AAAAAHt6b8A=")</f>
        <v>#VALUE!</v>
      </c>
      <c r="GL6" t="e">
        <f>AND('WJP Rule of Law Index 2012-2013'!X29,"AAAAAHt6b8E=")</f>
        <v>#VALUE!</v>
      </c>
      <c r="GM6" t="e">
        <f>AND('WJP Rule of Law Index 2012-2013'!Y29,"AAAAAHt6b8I=")</f>
        <v>#VALUE!</v>
      </c>
      <c r="GN6" t="e">
        <f>AND('WJP Rule of Law Index 2012-2013'!Z29,"AAAAAHt6b8M=")</f>
        <v>#VALUE!</v>
      </c>
      <c r="GO6" t="e">
        <f>AND('WJP Rule of Law Index 2012-2013'!AA29,"AAAAAHt6b8Q=")</f>
        <v>#VALUE!</v>
      </c>
      <c r="GP6" t="e">
        <f>AND('WJP Rule of Law Index 2012-2013'!AB29,"AAAAAHt6b8U=")</f>
        <v>#VALUE!</v>
      </c>
      <c r="GQ6" t="e">
        <f>AND('WJP Rule of Law Index 2012-2013'!AC29,"AAAAAHt6b8Y=")</f>
        <v>#VALUE!</v>
      </c>
      <c r="GR6" t="e">
        <f>AND('WJP Rule of Law Index 2012-2013'!AD29,"AAAAAHt6b8c=")</f>
        <v>#VALUE!</v>
      </c>
      <c r="GS6" t="e">
        <f>AND('WJP Rule of Law Index 2012-2013'!AE29,"AAAAAHt6b8g=")</f>
        <v>#VALUE!</v>
      </c>
      <c r="GT6" t="e">
        <f>AND('WJP Rule of Law Index 2012-2013'!AF29,"AAAAAHt6b8k=")</f>
        <v>#VALUE!</v>
      </c>
      <c r="GU6" t="e">
        <f>AND('WJP Rule of Law Index 2012-2013'!AG29,"AAAAAHt6b8o=")</f>
        <v>#VALUE!</v>
      </c>
      <c r="GV6" t="e">
        <f>AND('WJP Rule of Law Index 2012-2013'!#REF!,"AAAAAHt6b8s=")</f>
        <v>#REF!</v>
      </c>
      <c r="GW6" t="e">
        <f>AND('WJP Rule of Law Index 2012-2013'!#REF!,"AAAAAHt6b8w=")</f>
        <v>#REF!</v>
      </c>
      <c r="GX6" t="e">
        <f>AND('WJP Rule of Law Index 2012-2013'!AH29,"AAAAAHt6b80=")</f>
        <v>#VALUE!</v>
      </c>
      <c r="GY6" t="e">
        <f>AND('WJP Rule of Law Index 2012-2013'!AI29,"AAAAAHt6b84=")</f>
        <v>#VALUE!</v>
      </c>
      <c r="GZ6" t="e">
        <f>AND('WJP Rule of Law Index 2012-2013'!AJ29,"AAAAAHt6b88=")</f>
        <v>#VALUE!</v>
      </c>
      <c r="HA6" t="e">
        <f>AND('WJP Rule of Law Index 2012-2013'!AK29,"AAAAAHt6b9A=")</f>
        <v>#VALUE!</v>
      </c>
      <c r="HB6" t="e">
        <f>AND('WJP Rule of Law Index 2012-2013'!AL29,"AAAAAHt6b9E=")</f>
        <v>#VALUE!</v>
      </c>
      <c r="HC6" t="e">
        <f>AND('WJP Rule of Law Index 2012-2013'!AM29,"AAAAAHt6b9I=")</f>
        <v>#VALUE!</v>
      </c>
      <c r="HD6" t="e">
        <f>AND('WJP Rule of Law Index 2012-2013'!AN29,"AAAAAHt6b9M=")</f>
        <v>#VALUE!</v>
      </c>
      <c r="HE6" t="e">
        <f>AND('WJP Rule of Law Index 2012-2013'!AO29,"AAAAAHt6b9Q=")</f>
        <v>#VALUE!</v>
      </c>
      <c r="HF6" t="e">
        <f>AND('WJP Rule of Law Index 2012-2013'!AP29,"AAAAAHt6b9U=")</f>
        <v>#VALUE!</v>
      </c>
      <c r="HG6" t="e">
        <f>AND('WJP Rule of Law Index 2012-2013'!AQ29,"AAAAAHt6b9Y=")</f>
        <v>#VALUE!</v>
      </c>
      <c r="HH6" t="e">
        <f>AND('WJP Rule of Law Index 2012-2013'!AR29,"AAAAAHt6b9c=")</f>
        <v>#VALUE!</v>
      </c>
      <c r="HI6" t="e">
        <f>AND('WJP Rule of Law Index 2012-2013'!AS29,"AAAAAHt6b9g=")</f>
        <v>#VALUE!</v>
      </c>
      <c r="HJ6" t="e">
        <f>AND('WJP Rule of Law Index 2012-2013'!AT29,"AAAAAHt6b9k=")</f>
        <v>#VALUE!</v>
      </c>
      <c r="HK6">
        <f>IF('WJP Rule of Law Index 2012-2013'!30:30,"AAAAAHt6b9o=",0)</f>
        <v>0</v>
      </c>
      <c r="HL6" t="e">
        <f>AND('WJP Rule of Law Index 2012-2013'!A30,"AAAAAHt6b9s=")</f>
        <v>#VALUE!</v>
      </c>
      <c r="HM6" t="e">
        <f>AND('WJP Rule of Law Index 2012-2013'!B30,"AAAAAHt6b9w=")</f>
        <v>#VALUE!</v>
      </c>
      <c r="HN6" t="e">
        <f>AND('WJP Rule of Law Index 2012-2013'!#REF!,"AAAAAHt6b90=")</f>
        <v>#REF!</v>
      </c>
      <c r="HO6" t="e">
        <f>AND('WJP Rule of Law Index 2012-2013'!C30,"AAAAAHt6b94=")</f>
        <v>#VALUE!</v>
      </c>
      <c r="HP6" t="e">
        <f>AND('WJP Rule of Law Index 2012-2013'!#REF!,"AAAAAHt6b98=")</f>
        <v>#REF!</v>
      </c>
      <c r="HQ6" t="e">
        <f>AND('WJP Rule of Law Index 2012-2013'!D30,"AAAAAHt6b+A=")</f>
        <v>#VALUE!</v>
      </c>
      <c r="HR6" t="e">
        <f>AND('WJP Rule of Law Index 2012-2013'!E30,"AAAAAHt6b+E=")</f>
        <v>#VALUE!</v>
      </c>
      <c r="HS6" t="e">
        <f>AND('WJP Rule of Law Index 2012-2013'!F30,"AAAAAHt6b+I=")</f>
        <v>#VALUE!</v>
      </c>
      <c r="HT6" t="e">
        <f>AND('WJP Rule of Law Index 2012-2013'!G30,"AAAAAHt6b+M=")</f>
        <v>#VALUE!</v>
      </c>
      <c r="HU6" t="e">
        <f>AND('WJP Rule of Law Index 2012-2013'!H30,"AAAAAHt6b+Q=")</f>
        <v>#VALUE!</v>
      </c>
      <c r="HV6" t="e">
        <f>AND('WJP Rule of Law Index 2012-2013'!I30,"AAAAAHt6b+U=")</f>
        <v>#VALUE!</v>
      </c>
      <c r="HW6" t="e">
        <f>AND('WJP Rule of Law Index 2012-2013'!J30,"AAAAAHt6b+Y=")</f>
        <v>#VALUE!</v>
      </c>
      <c r="HX6" t="e">
        <f>AND('WJP Rule of Law Index 2012-2013'!K30,"AAAAAHt6b+c=")</f>
        <v>#VALUE!</v>
      </c>
      <c r="HY6" t="e">
        <f>AND('WJP Rule of Law Index 2012-2013'!#REF!,"AAAAAHt6b+g=")</f>
        <v>#REF!</v>
      </c>
      <c r="HZ6" t="e">
        <f>AND('WJP Rule of Law Index 2012-2013'!#REF!,"AAAAAHt6b+k=")</f>
        <v>#REF!</v>
      </c>
      <c r="IA6" t="e">
        <f>AND('WJP Rule of Law Index 2012-2013'!#REF!,"AAAAAHt6b+o=")</f>
        <v>#REF!</v>
      </c>
      <c r="IB6" t="e">
        <f>AND('WJP Rule of Law Index 2012-2013'!P30,"AAAAAHt6b+s=")</f>
        <v>#VALUE!</v>
      </c>
      <c r="IC6" t="e">
        <f>AND('WJP Rule of Law Index 2012-2013'!Q30,"AAAAAHt6b+w=")</f>
        <v>#VALUE!</v>
      </c>
      <c r="ID6" t="e">
        <f>AND('WJP Rule of Law Index 2012-2013'!R30,"AAAAAHt6b+0=")</f>
        <v>#VALUE!</v>
      </c>
      <c r="IE6" t="e">
        <f>AND('WJP Rule of Law Index 2012-2013'!S30,"AAAAAHt6b+4=")</f>
        <v>#VALUE!</v>
      </c>
      <c r="IF6" t="e">
        <f>AND('WJP Rule of Law Index 2012-2013'!T30,"AAAAAHt6b+8=")</f>
        <v>#VALUE!</v>
      </c>
      <c r="IG6" t="e">
        <f>AND('WJP Rule of Law Index 2012-2013'!U30,"AAAAAHt6b/A=")</f>
        <v>#VALUE!</v>
      </c>
      <c r="IH6" t="e">
        <f>AND('WJP Rule of Law Index 2012-2013'!V30,"AAAAAHt6b/E=")</f>
        <v>#VALUE!</v>
      </c>
      <c r="II6" t="e">
        <f>AND('WJP Rule of Law Index 2012-2013'!W30,"AAAAAHt6b/I=")</f>
        <v>#VALUE!</v>
      </c>
      <c r="IJ6" t="e">
        <f>AND('WJP Rule of Law Index 2012-2013'!X30,"AAAAAHt6b/M=")</f>
        <v>#VALUE!</v>
      </c>
      <c r="IK6" t="e">
        <f>AND('WJP Rule of Law Index 2012-2013'!Y30,"AAAAAHt6b/Q=")</f>
        <v>#VALUE!</v>
      </c>
      <c r="IL6" t="e">
        <f>AND('WJP Rule of Law Index 2012-2013'!Z30,"AAAAAHt6b/U=")</f>
        <v>#VALUE!</v>
      </c>
      <c r="IM6" t="e">
        <f>AND('WJP Rule of Law Index 2012-2013'!AA30,"AAAAAHt6b/Y=")</f>
        <v>#VALUE!</v>
      </c>
      <c r="IN6" t="e">
        <f>AND('WJP Rule of Law Index 2012-2013'!AB30,"AAAAAHt6b/c=")</f>
        <v>#VALUE!</v>
      </c>
      <c r="IO6" t="e">
        <f>AND('WJP Rule of Law Index 2012-2013'!AC30,"AAAAAHt6b/g=")</f>
        <v>#VALUE!</v>
      </c>
      <c r="IP6" t="e">
        <f>AND('WJP Rule of Law Index 2012-2013'!AD30,"AAAAAHt6b/k=")</f>
        <v>#VALUE!</v>
      </c>
      <c r="IQ6" t="e">
        <f>AND('WJP Rule of Law Index 2012-2013'!AE30,"AAAAAHt6b/o=")</f>
        <v>#VALUE!</v>
      </c>
      <c r="IR6" t="e">
        <f>AND('WJP Rule of Law Index 2012-2013'!AF30,"AAAAAHt6b/s=")</f>
        <v>#VALUE!</v>
      </c>
      <c r="IS6" t="e">
        <f>AND('WJP Rule of Law Index 2012-2013'!AG30,"AAAAAHt6b/w=")</f>
        <v>#VALUE!</v>
      </c>
      <c r="IT6" t="e">
        <f>AND('WJP Rule of Law Index 2012-2013'!#REF!,"AAAAAHt6b/0=")</f>
        <v>#REF!</v>
      </c>
      <c r="IU6" t="e">
        <f>AND('WJP Rule of Law Index 2012-2013'!#REF!,"AAAAAHt6b/4=")</f>
        <v>#REF!</v>
      </c>
      <c r="IV6" t="e">
        <f>AND('WJP Rule of Law Index 2012-2013'!AH30,"AAAAAHt6b/8=")</f>
        <v>#VALUE!</v>
      </c>
    </row>
    <row r="7" spans="1:256" ht="15">
      <c r="A7" t="e">
        <f>AND('WJP Rule of Law Index 2012-2013'!AI30,"AAAAAD/dPwA=")</f>
        <v>#VALUE!</v>
      </c>
      <c r="B7" t="e">
        <f>AND('WJP Rule of Law Index 2012-2013'!AJ30,"AAAAAD/dPwE=")</f>
        <v>#VALUE!</v>
      </c>
      <c r="C7" t="e">
        <f>AND('WJP Rule of Law Index 2012-2013'!AK30,"AAAAAD/dPwI=")</f>
        <v>#VALUE!</v>
      </c>
      <c r="D7" t="e">
        <f>AND('WJP Rule of Law Index 2012-2013'!AL30,"AAAAAD/dPwM=")</f>
        <v>#VALUE!</v>
      </c>
      <c r="E7" t="e">
        <f>AND('WJP Rule of Law Index 2012-2013'!AM30,"AAAAAD/dPwQ=")</f>
        <v>#VALUE!</v>
      </c>
      <c r="F7" t="e">
        <f>AND('WJP Rule of Law Index 2012-2013'!AN30,"AAAAAD/dPwU=")</f>
        <v>#VALUE!</v>
      </c>
      <c r="G7" t="e">
        <f>AND('WJP Rule of Law Index 2012-2013'!AO30,"AAAAAD/dPwY=")</f>
        <v>#VALUE!</v>
      </c>
      <c r="H7" t="e">
        <f>AND('WJP Rule of Law Index 2012-2013'!AP30,"AAAAAD/dPwc=")</f>
        <v>#VALUE!</v>
      </c>
      <c r="I7" t="e">
        <f>AND('WJP Rule of Law Index 2012-2013'!AQ30,"AAAAAD/dPwg=")</f>
        <v>#VALUE!</v>
      </c>
      <c r="J7" t="e">
        <f>AND('WJP Rule of Law Index 2012-2013'!AR30,"AAAAAD/dPwk=")</f>
        <v>#VALUE!</v>
      </c>
      <c r="K7" t="e">
        <f>AND('WJP Rule of Law Index 2012-2013'!AS30,"AAAAAD/dPwo=")</f>
        <v>#VALUE!</v>
      </c>
      <c r="L7" t="e">
        <f>AND('WJP Rule of Law Index 2012-2013'!AT30,"AAAAAD/dPws=")</f>
        <v>#VALUE!</v>
      </c>
      <c r="M7" t="str">
        <f>IF('WJP Rule of Law Index 2012-2013'!31:31,"AAAAAD/dPww=",0)</f>
        <v>AAAAAD/dPww=</v>
      </c>
      <c r="N7" t="e">
        <f>AND('WJP Rule of Law Index 2012-2013'!A31,"AAAAAD/dPw0=")</f>
        <v>#VALUE!</v>
      </c>
      <c r="O7" t="e">
        <f>AND('WJP Rule of Law Index 2012-2013'!B31,"AAAAAD/dPw4=")</f>
        <v>#VALUE!</v>
      </c>
      <c r="P7" t="e">
        <f>AND('WJP Rule of Law Index 2012-2013'!#REF!,"AAAAAD/dPw8=")</f>
        <v>#REF!</v>
      </c>
      <c r="Q7" t="e">
        <f>AND('WJP Rule of Law Index 2012-2013'!C31,"AAAAAD/dPxA=")</f>
        <v>#VALUE!</v>
      </c>
      <c r="R7" t="e">
        <f>AND('WJP Rule of Law Index 2012-2013'!#REF!,"AAAAAD/dPxE=")</f>
        <v>#REF!</v>
      </c>
      <c r="S7" t="e">
        <f>AND('WJP Rule of Law Index 2012-2013'!D31,"AAAAAD/dPxI=")</f>
        <v>#VALUE!</v>
      </c>
      <c r="T7" t="e">
        <f>AND('WJP Rule of Law Index 2012-2013'!E31,"AAAAAD/dPxM=")</f>
        <v>#VALUE!</v>
      </c>
      <c r="U7" t="e">
        <f>AND('WJP Rule of Law Index 2012-2013'!F31,"AAAAAD/dPxQ=")</f>
        <v>#VALUE!</v>
      </c>
      <c r="V7" t="e">
        <f>AND('WJP Rule of Law Index 2012-2013'!G31,"AAAAAD/dPxU=")</f>
        <v>#VALUE!</v>
      </c>
      <c r="W7" t="e">
        <f>AND('WJP Rule of Law Index 2012-2013'!H31,"AAAAAD/dPxY=")</f>
        <v>#VALUE!</v>
      </c>
      <c r="X7" t="e">
        <f>AND('WJP Rule of Law Index 2012-2013'!I31,"AAAAAD/dPxc=")</f>
        <v>#VALUE!</v>
      </c>
      <c r="Y7" t="e">
        <f>AND('WJP Rule of Law Index 2012-2013'!J31,"AAAAAD/dPxg=")</f>
        <v>#VALUE!</v>
      </c>
      <c r="Z7" t="e">
        <f>AND('WJP Rule of Law Index 2012-2013'!K31,"AAAAAD/dPxk=")</f>
        <v>#VALUE!</v>
      </c>
      <c r="AA7" t="e">
        <f>AND('WJP Rule of Law Index 2012-2013'!#REF!,"AAAAAD/dPxo=")</f>
        <v>#REF!</v>
      </c>
      <c r="AB7" t="e">
        <f>AND('WJP Rule of Law Index 2012-2013'!#REF!,"AAAAAD/dPxs=")</f>
        <v>#REF!</v>
      </c>
      <c r="AC7" t="e">
        <f>AND('WJP Rule of Law Index 2012-2013'!#REF!,"AAAAAD/dPxw=")</f>
        <v>#REF!</v>
      </c>
      <c r="AD7" t="e">
        <f>AND('WJP Rule of Law Index 2012-2013'!P31,"AAAAAD/dPx0=")</f>
        <v>#VALUE!</v>
      </c>
      <c r="AE7" t="e">
        <f>AND('WJP Rule of Law Index 2012-2013'!Q31,"AAAAAD/dPx4=")</f>
        <v>#VALUE!</v>
      </c>
      <c r="AF7" t="e">
        <f>AND('WJP Rule of Law Index 2012-2013'!R31,"AAAAAD/dPx8=")</f>
        <v>#VALUE!</v>
      </c>
      <c r="AG7" t="e">
        <f>AND('WJP Rule of Law Index 2012-2013'!S31,"AAAAAD/dPyA=")</f>
        <v>#VALUE!</v>
      </c>
      <c r="AH7" t="e">
        <f>AND('WJP Rule of Law Index 2012-2013'!T31,"AAAAAD/dPyE=")</f>
        <v>#VALUE!</v>
      </c>
      <c r="AI7" t="e">
        <f>AND('WJP Rule of Law Index 2012-2013'!U31,"AAAAAD/dPyI=")</f>
        <v>#VALUE!</v>
      </c>
      <c r="AJ7" t="e">
        <f>AND('WJP Rule of Law Index 2012-2013'!V31,"AAAAAD/dPyM=")</f>
        <v>#VALUE!</v>
      </c>
      <c r="AK7" t="e">
        <f>AND('WJP Rule of Law Index 2012-2013'!W31,"AAAAAD/dPyQ=")</f>
        <v>#VALUE!</v>
      </c>
      <c r="AL7" t="e">
        <f>AND('WJP Rule of Law Index 2012-2013'!X31,"AAAAAD/dPyU=")</f>
        <v>#VALUE!</v>
      </c>
      <c r="AM7" t="e">
        <f>AND('WJP Rule of Law Index 2012-2013'!Y31,"AAAAAD/dPyY=")</f>
        <v>#VALUE!</v>
      </c>
      <c r="AN7" t="e">
        <f>AND('WJP Rule of Law Index 2012-2013'!Z31,"AAAAAD/dPyc=")</f>
        <v>#VALUE!</v>
      </c>
      <c r="AO7" t="e">
        <f>AND('WJP Rule of Law Index 2012-2013'!AA31,"AAAAAD/dPyg=")</f>
        <v>#VALUE!</v>
      </c>
      <c r="AP7" t="e">
        <f>AND('WJP Rule of Law Index 2012-2013'!AB31,"AAAAAD/dPyk=")</f>
        <v>#VALUE!</v>
      </c>
      <c r="AQ7" t="e">
        <f>AND('WJP Rule of Law Index 2012-2013'!AC31,"AAAAAD/dPyo=")</f>
        <v>#VALUE!</v>
      </c>
      <c r="AR7" t="e">
        <f>AND('WJP Rule of Law Index 2012-2013'!AD31,"AAAAAD/dPys=")</f>
        <v>#VALUE!</v>
      </c>
      <c r="AS7" t="e">
        <f>AND('WJP Rule of Law Index 2012-2013'!AE31,"AAAAAD/dPyw=")</f>
        <v>#VALUE!</v>
      </c>
      <c r="AT7" t="e">
        <f>AND('WJP Rule of Law Index 2012-2013'!AF31,"AAAAAD/dPy0=")</f>
        <v>#VALUE!</v>
      </c>
      <c r="AU7" t="e">
        <f>AND('WJP Rule of Law Index 2012-2013'!AG31,"AAAAAD/dPy4=")</f>
        <v>#VALUE!</v>
      </c>
      <c r="AV7" t="e">
        <f>AND('WJP Rule of Law Index 2012-2013'!#REF!,"AAAAAD/dPy8=")</f>
        <v>#REF!</v>
      </c>
      <c r="AW7" t="e">
        <f>AND('WJP Rule of Law Index 2012-2013'!#REF!,"AAAAAD/dPzA=")</f>
        <v>#REF!</v>
      </c>
      <c r="AX7" t="e">
        <f>AND('WJP Rule of Law Index 2012-2013'!AH31,"AAAAAD/dPzE=")</f>
        <v>#VALUE!</v>
      </c>
      <c r="AY7" t="e">
        <f>AND('WJP Rule of Law Index 2012-2013'!AI31,"AAAAAD/dPzI=")</f>
        <v>#VALUE!</v>
      </c>
      <c r="AZ7" t="e">
        <f>AND('WJP Rule of Law Index 2012-2013'!AJ31,"AAAAAD/dPzM=")</f>
        <v>#VALUE!</v>
      </c>
      <c r="BA7" t="e">
        <f>AND('WJP Rule of Law Index 2012-2013'!AK31,"AAAAAD/dPzQ=")</f>
        <v>#VALUE!</v>
      </c>
      <c r="BB7" t="e">
        <f>AND('WJP Rule of Law Index 2012-2013'!AL31,"AAAAAD/dPzU=")</f>
        <v>#VALUE!</v>
      </c>
      <c r="BC7" t="e">
        <f>AND('WJP Rule of Law Index 2012-2013'!AM31,"AAAAAD/dPzY=")</f>
        <v>#VALUE!</v>
      </c>
      <c r="BD7" t="e">
        <f>AND('WJP Rule of Law Index 2012-2013'!AN31,"AAAAAD/dPzc=")</f>
        <v>#VALUE!</v>
      </c>
      <c r="BE7" t="e">
        <f>AND('WJP Rule of Law Index 2012-2013'!AO31,"AAAAAD/dPzg=")</f>
        <v>#VALUE!</v>
      </c>
      <c r="BF7" t="e">
        <f>AND('WJP Rule of Law Index 2012-2013'!AP31,"AAAAAD/dPzk=")</f>
        <v>#VALUE!</v>
      </c>
      <c r="BG7" t="e">
        <f>AND('WJP Rule of Law Index 2012-2013'!AQ31,"AAAAAD/dPzo=")</f>
        <v>#VALUE!</v>
      </c>
      <c r="BH7" t="e">
        <f>AND('WJP Rule of Law Index 2012-2013'!AR31,"AAAAAD/dPzs=")</f>
        <v>#VALUE!</v>
      </c>
      <c r="BI7" t="e">
        <f>AND('WJP Rule of Law Index 2012-2013'!AS31,"AAAAAD/dPzw=")</f>
        <v>#VALUE!</v>
      </c>
      <c r="BJ7" t="e">
        <f>AND('WJP Rule of Law Index 2012-2013'!AT31,"AAAAAD/dPz0=")</f>
        <v>#VALUE!</v>
      </c>
      <c r="BK7">
        <f>IF('WJP Rule of Law Index 2012-2013'!32:32,"AAAAAD/dPz4=",0)</f>
        <v>0</v>
      </c>
      <c r="BL7" t="e">
        <f>AND('WJP Rule of Law Index 2012-2013'!A32,"AAAAAD/dPz8=")</f>
        <v>#VALUE!</v>
      </c>
      <c r="BM7" t="e">
        <f>AND('WJP Rule of Law Index 2012-2013'!B32,"AAAAAD/dP0A=")</f>
        <v>#VALUE!</v>
      </c>
      <c r="BN7" t="e">
        <f>AND('WJP Rule of Law Index 2012-2013'!#REF!,"AAAAAD/dP0E=")</f>
        <v>#REF!</v>
      </c>
      <c r="BO7" t="e">
        <f>AND('WJP Rule of Law Index 2012-2013'!C32,"AAAAAD/dP0I=")</f>
        <v>#VALUE!</v>
      </c>
      <c r="BP7" t="e">
        <f>AND('WJP Rule of Law Index 2012-2013'!#REF!,"AAAAAD/dP0M=")</f>
        <v>#REF!</v>
      </c>
      <c r="BQ7" t="e">
        <f>AND('WJP Rule of Law Index 2012-2013'!D32,"AAAAAD/dP0Q=")</f>
        <v>#VALUE!</v>
      </c>
      <c r="BR7" t="e">
        <f>AND('WJP Rule of Law Index 2012-2013'!E32,"AAAAAD/dP0U=")</f>
        <v>#VALUE!</v>
      </c>
      <c r="BS7" t="e">
        <f>AND('WJP Rule of Law Index 2012-2013'!F32,"AAAAAD/dP0Y=")</f>
        <v>#VALUE!</v>
      </c>
      <c r="BT7" t="e">
        <f>AND('WJP Rule of Law Index 2012-2013'!G32,"AAAAAD/dP0c=")</f>
        <v>#VALUE!</v>
      </c>
      <c r="BU7" t="e">
        <f>AND('WJP Rule of Law Index 2012-2013'!H32,"AAAAAD/dP0g=")</f>
        <v>#VALUE!</v>
      </c>
      <c r="BV7" t="e">
        <f>AND('WJP Rule of Law Index 2012-2013'!I32,"AAAAAD/dP0k=")</f>
        <v>#VALUE!</v>
      </c>
      <c r="BW7" t="e">
        <f>AND('WJP Rule of Law Index 2012-2013'!J32,"AAAAAD/dP0o=")</f>
        <v>#VALUE!</v>
      </c>
      <c r="BX7" t="e">
        <f>AND('WJP Rule of Law Index 2012-2013'!K32,"AAAAAD/dP0s=")</f>
        <v>#VALUE!</v>
      </c>
      <c r="BY7" t="e">
        <f>AND('WJP Rule of Law Index 2012-2013'!#REF!,"AAAAAD/dP0w=")</f>
        <v>#REF!</v>
      </c>
      <c r="BZ7" t="e">
        <f>AND('WJP Rule of Law Index 2012-2013'!#REF!,"AAAAAD/dP00=")</f>
        <v>#REF!</v>
      </c>
      <c r="CA7" t="e">
        <f>AND('WJP Rule of Law Index 2012-2013'!#REF!,"AAAAAD/dP04=")</f>
        <v>#REF!</v>
      </c>
      <c r="CB7" t="e">
        <f>AND('WJP Rule of Law Index 2012-2013'!P32,"AAAAAD/dP08=")</f>
        <v>#VALUE!</v>
      </c>
      <c r="CC7" t="e">
        <f>AND('WJP Rule of Law Index 2012-2013'!Q32,"AAAAAD/dP1A=")</f>
        <v>#VALUE!</v>
      </c>
      <c r="CD7" t="e">
        <f>AND('WJP Rule of Law Index 2012-2013'!R32,"AAAAAD/dP1E=")</f>
        <v>#VALUE!</v>
      </c>
      <c r="CE7" t="e">
        <f>AND('WJP Rule of Law Index 2012-2013'!S32,"AAAAAD/dP1I=")</f>
        <v>#VALUE!</v>
      </c>
      <c r="CF7" t="e">
        <f>AND('WJP Rule of Law Index 2012-2013'!T32,"AAAAAD/dP1M=")</f>
        <v>#VALUE!</v>
      </c>
      <c r="CG7" t="e">
        <f>AND('WJP Rule of Law Index 2012-2013'!U32,"AAAAAD/dP1Q=")</f>
        <v>#VALUE!</v>
      </c>
      <c r="CH7" t="e">
        <f>AND('WJP Rule of Law Index 2012-2013'!V32,"AAAAAD/dP1U=")</f>
        <v>#VALUE!</v>
      </c>
      <c r="CI7" t="e">
        <f>AND('WJP Rule of Law Index 2012-2013'!W32,"AAAAAD/dP1Y=")</f>
        <v>#VALUE!</v>
      </c>
      <c r="CJ7" t="e">
        <f>AND('WJP Rule of Law Index 2012-2013'!X32,"AAAAAD/dP1c=")</f>
        <v>#VALUE!</v>
      </c>
      <c r="CK7" t="e">
        <f>AND('WJP Rule of Law Index 2012-2013'!Y32,"AAAAAD/dP1g=")</f>
        <v>#VALUE!</v>
      </c>
      <c r="CL7" t="e">
        <f>AND('WJP Rule of Law Index 2012-2013'!Z32,"AAAAAD/dP1k=")</f>
        <v>#VALUE!</v>
      </c>
      <c r="CM7" t="e">
        <f>AND('WJP Rule of Law Index 2012-2013'!AA32,"AAAAAD/dP1o=")</f>
        <v>#VALUE!</v>
      </c>
      <c r="CN7" t="e">
        <f>AND('WJP Rule of Law Index 2012-2013'!AB32,"AAAAAD/dP1s=")</f>
        <v>#VALUE!</v>
      </c>
      <c r="CO7" t="e">
        <f>AND('WJP Rule of Law Index 2012-2013'!AC32,"AAAAAD/dP1w=")</f>
        <v>#VALUE!</v>
      </c>
      <c r="CP7" t="e">
        <f>AND('WJP Rule of Law Index 2012-2013'!AD32,"AAAAAD/dP10=")</f>
        <v>#VALUE!</v>
      </c>
      <c r="CQ7" t="e">
        <f>AND('WJP Rule of Law Index 2012-2013'!AE32,"AAAAAD/dP14=")</f>
        <v>#VALUE!</v>
      </c>
      <c r="CR7" t="e">
        <f>AND('WJP Rule of Law Index 2012-2013'!AF32,"AAAAAD/dP18=")</f>
        <v>#VALUE!</v>
      </c>
      <c r="CS7" t="e">
        <f>AND('WJP Rule of Law Index 2012-2013'!AG32,"AAAAAD/dP2A=")</f>
        <v>#VALUE!</v>
      </c>
      <c r="CT7" t="e">
        <f>AND('WJP Rule of Law Index 2012-2013'!#REF!,"AAAAAD/dP2E=")</f>
        <v>#REF!</v>
      </c>
      <c r="CU7" t="e">
        <f>AND('WJP Rule of Law Index 2012-2013'!#REF!,"AAAAAD/dP2I=")</f>
        <v>#REF!</v>
      </c>
      <c r="CV7" t="e">
        <f>AND('WJP Rule of Law Index 2012-2013'!AH32,"AAAAAD/dP2M=")</f>
        <v>#VALUE!</v>
      </c>
      <c r="CW7" t="e">
        <f>AND('WJP Rule of Law Index 2012-2013'!AI32,"AAAAAD/dP2Q=")</f>
        <v>#VALUE!</v>
      </c>
      <c r="CX7" t="e">
        <f>AND('WJP Rule of Law Index 2012-2013'!AJ32,"AAAAAD/dP2U=")</f>
        <v>#VALUE!</v>
      </c>
      <c r="CY7" t="e">
        <f>AND('WJP Rule of Law Index 2012-2013'!AK32,"AAAAAD/dP2Y=")</f>
        <v>#VALUE!</v>
      </c>
      <c r="CZ7" t="e">
        <f>AND('WJP Rule of Law Index 2012-2013'!AL32,"AAAAAD/dP2c=")</f>
        <v>#VALUE!</v>
      </c>
      <c r="DA7" t="e">
        <f>AND('WJP Rule of Law Index 2012-2013'!AM32,"AAAAAD/dP2g=")</f>
        <v>#VALUE!</v>
      </c>
      <c r="DB7" t="e">
        <f>AND('WJP Rule of Law Index 2012-2013'!AN32,"AAAAAD/dP2k=")</f>
        <v>#VALUE!</v>
      </c>
      <c r="DC7" t="e">
        <f>AND('WJP Rule of Law Index 2012-2013'!AO32,"AAAAAD/dP2o=")</f>
        <v>#VALUE!</v>
      </c>
      <c r="DD7" t="e">
        <f>AND('WJP Rule of Law Index 2012-2013'!AP32,"AAAAAD/dP2s=")</f>
        <v>#VALUE!</v>
      </c>
      <c r="DE7" t="e">
        <f>AND('WJP Rule of Law Index 2012-2013'!AQ32,"AAAAAD/dP2w=")</f>
        <v>#VALUE!</v>
      </c>
      <c r="DF7" t="e">
        <f>AND('WJP Rule of Law Index 2012-2013'!AR32,"AAAAAD/dP20=")</f>
        <v>#VALUE!</v>
      </c>
      <c r="DG7" t="e">
        <f>AND('WJP Rule of Law Index 2012-2013'!AS32,"AAAAAD/dP24=")</f>
        <v>#VALUE!</v>
      </c>
      <c r="DH7" t="e">
        <f>AND('WJP Rule of Law Index 2012-2013'!AT32,"AAAAAD/dP28=")</f>
        <v>#VALUE!</v>
      </c>
      <c r="DI7">
        <f>IF('WJP Rule of Law Index 2012-2013'!33:33,"AAAAAD/dP3A=",0)</f>
        <v>0</v>
      </c>
      <c r="DJ7" t="e">
        <f>AND('WJP Rule of Law Index 2012-2013'!A33,"AAAAAD/dP3E=")</f>
        <v>#VALUE!</v>
      </c>
      <c r="DK7" t="e">
        <f>AND('WJP Rule of Law Index 2012-2013'!B33,"AAAAAD/dP3I=")</f>
        <v>#VALUE!</v>
      </c>
      <c r="DL7" t="e">
        <f>AND('WJP Rule of Law Index 2012-2013'!#REF!,"AAAAAD/dP3M=")</f>
        <v>#REF!</v>
      </c>
      <c r="DM7" t="e">
        <f>AND('WJP Rule of Law Index 2012-2013'!C33,"AAAAAD/dP3Q=")</f>
        <v>#VALUE!</v>
      </c>
      <c r="DN7" t="e">
        <f>AND('WJP Rule of Law Index 2012-2013'!#REF!,"AAAAAD/dP3U=")</f>
        <v>#REF!</v>
      </c>
      <c r="DO7" t="e">
        <f>AND('WJP Rule of Law Index 2012-2013'!D33,"AAAAAD/dP3Y=")</f>
        <v>#VALUE!</v>
      </c>
      <c r="DP7" t="e">
        <f>AND('WJP Rule of Law Index 2012-2013'!E33,"AAAAAD/dP3c=")</f>
        <v>#VALUE!</v>
      </c>
      <c r="DQ7" t="e">
        <f>AND('WJP Rule of Law Index 2012-2013'!F33,"AAAAAD/dP3g=")</f>
        <v>#VALUE!</v>
      </c>
      <c r="DR7" t="e">
        <f>AND('WJP Rule of Law Index 2012-2013'!G33,"AAAAAD/dP3k=")</f>
        <v>#VALUE!</v>
      </c>
      <c r="DS7" t="e">
        <f>AND('WJP Rule of Law Index 2012-2013'!H33,"AAAAAD/dP3o=")</f>
        <v>#VALUE!</v>
      </c>
      <c r="DT7" t="e">
        <f>AND('WJP Rule of Law Index 2012-2013'!I33,"AAAAAD/dP3s=")</f>
        <v>#VALUE!</v>
      </c>
      <c r="DU7" t="e">
        <f>AND('WJP Rule of Law Index 2012-2013'!J33,"AAAAAD/dP3w=")</f>
        <v>#VALUE!</v>
      </c>
      <c r="DV7" t="e">
        <f>AND('WJP Rule of Law Index 2012-2013'!K33,"AAAAAD/dP30=")</f>
        <v>#VALUE!</v>
      </c>
      <c r="DW7" t="e">
        <f>AND('WJP Rule of Law Index 2012-2013'!#REF!,"AAAAAD/dP34=")</f>
        <v>#REF!</v>
      </c>
      <c r="DX7" t="e">
        <f>AND('WJP Rule of Law Index 2012-2013'!#REF!,"AAAAAD/dP38=")</f>
        <v>#REF!</v>
      </c>
      <c r="DY7" t="e">
        <f>AND('WJP Rule of Law Index 2012-2013'!#REF!,"AAAAAD/dP4A=")</f>
        <v>#REF!</v>
      </c>
      <c r="DZ7" t="e">
        <f>AND('WJP Rule of Law Index 2012-2013'!P33,"AAAAAD/dP4E=")</f>
        <v>#VALUE!</v>
      </c>
      <c r="EA7" t="e">
        <f>AND('WJP Rule of Law Index 2012-2013'!Q33,"AAAAAD/dP4I=")</f>
        <v>#VALUE!</v>
      </c>
      <c r="EB7" t="e">
        <f>AND('WJP Rule of Law Index 2012-2013'!R33,"AAAAAD/dP4M=")</f>
        <v>#VALUE!</v>
      </c>
      <c r="EC7" t="e">
        <f>AND('WJP Rule of Law Index 2012-2013'!S33,"AAAAAD/dP4Q=")</f>
        <v>#VALUE!</v>
      </c>
      <c r="ED7" t="e">
        <f>AND('WJP Rule of Law Index 2012-2013'!T33,"AAAAAD/dP4U=")</f>
        <v>#VALUE!</v>
      </c>
      <c r="EE7" t="e">
        <f>AND('WJP Rule of Law Index 2012-2013'!U33,"AAAAAD/dP4Y=")</f>
        <v>#VALUE!</v>
      </c>
      <c r="EF7" t="e">
        <f>AND('WJP Rule of Law Index 2012-2013'!V33,"AAAAAD/dP4c=")</f>
        <v>#VALUE!</v>
      </c>
      <c r="EG7" t="e">
        <f>AND('WJP Rule of Law Index 2012-2013'!W33,"AAAAAD/dP4g=")</f>
        <v>#VALUE!</v>
      </c>
      <c r="EH7" t="e">
        <f>AND('WJP Rule of Law Index 2012-2013'!X33,"AAAAAD/dP4k=")</f>
        <v>#VALUE!</v>
      </c>
      <c r="EI7" t="e">
        <f>AND('WJP Rule of Law Index 2012-2013'!Y33,"AAAAAD/dP4o=")</f>
        <v>#VALUE!</v>
      </c>
      <c r="EJ7" t="e">
        <f>AND('WJP Rule of Law Index 2012-2013'!Z33,"AAAAAD/dP4s=")</f>
        <v>#VALUE!</v>
      </c>
      <c r="EK7" t="e">
        <f>AND('WJP Rule of Law Index 2012-2013'!AA33,"AAAAAD/dP4w=")</f>
        <v>#VALUE!</v>
      </c>
      <c r="EL7" t="e">
        <f>AND('WJP Rule of Law Index 2012-2013'!AB33,"AAAAAD/dP40=")</f>
        <v>#VALUE!</v>
      </c>
      <c r="EM7" t="e">
        <f>AND('WJP Rule of Law Index 2012-2013'!AC33,"AAAAAD/dP44=")</f>
        <v>#VALUE!</v>
      </c>
      <c r="EN7" t="e">
        <f>AND('WJP Rule of Law Index 2012-2013'!AD33,"AAAAAD/dP48=")</f>
        <v>#VALUE!</v>
      </c>
      <c r="EO7" t="e">
        <f>AND('WJP Rule of Law Index 2012-2013'!AE33,"AAAAAD/dP5A=")</f>
        <v>#VALUE!</v>
      </c>
      <c r="EP7" t="e">
        <f>AND('WJP Rule of Law Index 2012-2013'!AF33,"AAAAAD/dP5E=")</f>
        <v>#VALUE!</v>
      </c>
      <c r="EQ7" t="e">
        <f>AND('WJP Rule of Law Index 2012-2013'!AG33,"AAAAAD/dP5I=")</f>
        <v>#VALUE!</v>
      </c>
      <c r="ER7" t="e">
        <f>AND('WJP Rule of Law Index 2012-2013'!#REF!,"AAAAAD/dP5M=")</f>
        <v>#REF!</v>
      </c>
      <c r="ES7" t="e">
        <f>AND('WJP Rule of Law Index 2012-2013'!#REF!,"AAAAAD/dP5Q=")</f>
        <v>#REF!</v>
      </c>
      <c r="ET7" t="e">
        <f>AND('WJP Rule of Law Index 2012-2013'!AH33,"AAAAAD/dP5U=")</f>
        <v>#VALUE!</v>
      </c>
      <c r="EU7" t="e">
        <f>AND('WJP Rule of Law Index 2012-2013'!AI33,"AAAAAD/dP5Y=")</f>
        <v>#VALUE!</v>
      </c>
      <c r="EV7" t="e">
        <f>AND('WJP Rule of Law Index 2012-2013'!AJ33,"AAAAAD/dP5c=")</f>
        <v>#VALUE!</v>
      </c>
      <c r="EW7" t="e">
        <f>AND('WJP Rule of Law Index 2012-2013'!AK33,"AAAAAD/dP5g=")</f>
        <v>#VALUE!</v>
      </c>
      <c r="EX7" t="e">
        <f>AND('WJP Rule of Law Index 2012-2013'!AL33,"AAAAAD/dP5k=")</f>
        <v>#VALUE!</v>
      </c>
      <c r="EY7" t="e">
        <f>AND('WJP Rule of Law Index 2012-2013'!AM33,"AAAAAD/dP5o=")</f>
        <v>#VALUE!</v>
      </c>
      <c r="EZ7" t="e">
        <f>AND('WJP Rule of Law Index 2012-2013'!AN33,"AAAAAD/dP5s=")</f>
        <v>#VALUE!</v>
      </c>
      <c r="FA7" t="e">
        <f>AND('WJP Rule of Law Index 2012-2013'!AO33,"AAAAAD/dP5w=")</f>
        <v>#VALUE!</v>
      </c>
      <c r="FB7" t="e">
        <f>AND('WJP Rule of Law Index 2012-2013'!AP33,"AAAAAD/dP50=")</f>
        <v>#VALUE!</v>
      </c>
      <c r="FC7" t="e">
        <f>AND('WJP Rule of Law Index 2012-2013'!AQ33,"AAAAAD/dP54=")</f>
        <v>#VALUE!</v>
      </c>
      <c r="FD7" t="e">
        <f>AND('WJP Rule of Law Index 2012-2013'!AR33,"AAAAAD/dP58=")</f>
        <v>#VALUE!</v>
      </c>
      <c r="FE7" t="e">
        <f>AND('WJP Rule of Law Index 2012-2013'!AS33,"AAAAAD/dP6A=")</f>
        <v>#VALUE!</v>
      </c>
      <c r="FF7" t="e">
        <f>AND('WJP Rule of Law Index 2012-2013'!AT33,"AAAAAD/dP6E=")</f>
        <v>#VALUE!</v>
      </c>
      <c r="FG7">
        <f>IF('WJP Rule of Law Index 2012-2013'!34:34,"AAAAAD/dP6I=",0)</f>
        <v>0</v>
      </c>
      <c r="FH7" t="e">
        <f>AND('WJP Rule of Law Index 2012-2013'!A34,"AAAAAD/dP6M=")</f>
        <v>#VALUE!</v>
      </c>
      <c r="FI7" t="e">
        <f>AND('WJP Rule of Law Index 2012-2013'!B34,"AAAAAD/dP6Q=")</f>
        <v>#VALUE!</v>
      </c>
      <c r="FJ7" t="e">
        <f>AND('WJP Rule of Law Index 2012-2013'!#REF!,"AAAAAD/dP6U=")</f>
        <v>#REF!</v>
      </c>
      <c r="FK7" t="e">
        <f>AND('WJP Rule of Law Index 2012-2013'!C34,"AAAAAD/dP6Y=")</f>
        <v>#VALUE!</v>
      </c>
      <c r="FL7" t="e">
        <f>AND('WJP Rule of Law Index 2012-2013'!#REF!,"AAAAAD/dP6c=")</f>
        <v>#REF!</v>
      </c>
      <c r="FM7" t="e">
        <f>AND('WJP Rule of Law Index 2012-2013'!D34,"AAAAAD/dP6g=")</f>
        <v>#VALUE!</v>
      </c>
      <c r="FN7" t="e">
        <f>AND('WJP Rule of Law Index 2012-2013'!E34,"AAAAAD/dP6k=")</f>
        <v>#VALUE!</v>
      </c>
      <c r="FO7" t="e">
        <f>AND('WJP Rule of Law Index 2012-2013'!F34,"AAAAAD/dP6o=")</f>
        <v>#VALUE!</v>
      </c>
      <c r="FP7" t="e">
        <f>AND('WJP Rule of Law Index 2012-2013'!G34,"AAAAAD/dP6s=")</f>
        <v>#VALUE!</v>
      </c>
      <c r="FQ7" t="e">
        <f>AND('WJP Rule of Law Index 2012-2013'!H34,"AAAAAD/dP6w=")</f>
        <v>#VALUE!</v>
      </c>
      <c r="FR7" t="e">
        <f>AND('WJP Rule of Law Index 2012-2013'!I34,"AAAAAD/dP60=")</f>
        <v>#VALUE!</v>
      </c>
      <c r="FS7" t="e">
        <f>AND('WJP Rule of Law Index 2012-2013'!J34,"AAAAAD/dP64=")</f>
        <v>#VALUE!</v>
      </c>
      <c r="FT7" t="e">
        <f>AND('WJP Rule of Law Index 2012-2013'!K34,"AAAAAD/dP68=")</f>
        <v>#VALUE!</v>
      </c>
      <c r="FU7" t="e">
        <f>AND('WJP Rule of Law Index 2012-2013'!#REF!,"AAAAAD/dP7A=")</f>
        <v>#REF!</v>
      </c>
      <c r="FV7" t="e">
        <f>AND('WJP Rule of Law Index 2012-2013'!#REF!,"AAAAAD/dP7E=")</f>
        <v>#REF!</v>
      </c>
      <c r="FW7" t="e">
        <f>AND('WJP Rule of Law Index 2012-2013'!#REF!,"AAAAAD/dP7I=")</f>
        <v>#REF!</v>
      </c>
      <c r="FX7" t="e">
        <f>AND('WJP Rule of Law Index 2012-2013'!P34,"AAAAAD/dP7M=")</f>
        <v>#VALUE!</v>
      </c>
      <c r="FY7" t="e">
        <f>AND('WJP Rule of Law Index 2012-2013'!Q34,"AAAAAD/dP7Q=")</f>
        <v>#VALUE!</v>
      </c>
      <c r="FZ7" t="e">
        <f>AND('WJP Rule of Law Index 2012-2013'!R34,"AAAAAD/dP7U=")</f>
        <v>#VALUE!</v>
      </c>
      <c r="GA7" t="e">
        <f>AND('WJP Rule of Law Index 2012-2013'!S34,"AAAAAD/dP7Y=")</f>
        <v>#VALUE!</v>
      </c>
      <c r="GB7" t="e">
        <f>AND('WJP Rule of Law Index 2012-2013'!T34,"AAAAAD/dP7c=")</f>
        <v>#VALUE!</v>
      </c>
      <c r="GC7" t="e">
        <f>AND('WJP Rule of Law Index 2012-2013'!U34,"AAAAAD/dP7g=")</f>
        <v>#VALUE!</v>
      </c>
      <c r="GD7" t="e">
        <f>AND('WJP Rule of Law Index 2012-2013'!V34,"AAAAAD/dP7k=")</f>
        <v>#VALUE!</v>
      </c>
      <c r="GE7" t="e">
        <f>AND('WJP Rule of Law Index 2012-2013'!W34,"AAAAAD/dP7o=")</f>
        <v>#VALUE!</v>
      </c>
      <c r="GF7" t="e">
        <f>AND('WJP Rule of Law Index 2012-2013'!X34,"AAAAAD/dP7s=")</f>
        <v>#VALUE!</v>
      </c>
      <c r="GG7" t="e">
        <f>AND('WJP Rule of Law Index 2012-2013'!Y34,"AAAAAD/dP7w=")</f>
        <v>#VALUE!</v>
      </c>
      <c r="GH7" t="e">
        <f>AND('WJP Rule of Law Index 2012-2013'!Z34,"AAAAAD/dP70=")</f>
        <v>#VALUE!</v>
      </c>
      <c r="GI7" t="e">
        <f>AND('WJP Rule of Law Index 2012-2013'!AA34,"AAAAAD/dP74=")</f>
        <v>#VALUE!</v>
      </c>
      <c r="GJ7" t="e">
        <f>AND('WJP Rule of Law Index 2012-2013'!AB34,"AAAAAD/dP78=")</f>
        <v>#VALUE!</v>
      </c>
      <c r="GK7" t="e">
        <f>AND('WJP Rule of Law Index 2012-2013'!AC34,"AAAAAD/dP8A=")</f>
        <v>#VALUE!</v>
      </c>
      <c r="GL7" t="e">
        <f>AND('WJP Rule of Law Index 2012-2013'!AD34,"AAAAAD/dP8E=")</f>
        <v>#VALUE!</v>
      </c>
      <c r="GM7" t="e">
        <f>AND('WJP Rule of Law Index 2012-2013'!AE34,"AAAAAD/dP8I=")</f>
        <v>#VALUE!</v>
      </c>
      <c r="GN7" t="e">
        <f>AND('WJP Rule of Law Index 2012-2013'!AF34,"AAAAAD/dP8M=")</f>
        <v>#VALUE!</v>
      </c>
      <c r="GO7" t="e">
        <f>AND('WJP Rule of Law Index 2012-2013'!AG34,"AAAAAD/dP8Q=")</f>
        <v>#VALUE!</v>
      </c>
      <c r="GP7" t="e">
        <f>AND('WJP Rule of Law Index 2012-2013'!#REF!,"AAAAAD/dP8U=")</f>
        <v>#REF!</v>
      </c>
      <c r="GQ7" t="e">
        <f>AND('WJP Rule of Law Index 2012-2013'!#REF!,"AAAAAD/dP8Y=")</f>
        <v>#REF!</v>
      </c>
      <c r="GR7" t="e">
        <f>AND('WJP Rule of Law Index 2012-2013'!AH34,"AAAAAD/dP8c=")</f>
        <v>#VALUE!</v>
      </c>
      <c r="GS7" t="e">
        <f>AND('WJP Rule of Law Index 2012-2013'!AI34,"AAAAAD/dP8g=")</f>
        <v>#VALUE!</v>
      </c>
      <c r="GT7" t="e">
        <f>AND('WJP Rule of Law Index 2012-2013'!AJ34,"AAAAAD/dP8k=")</f>
        <v>#VALUE!</v>
      </c>
      <c r="GU7" t="e">
        <f>AND('WJP Rule of Law Index 2012-2013'!AK34,"AAAAAD/dP8o=")</f>
        <v>#VALUE!</v>
      </c>
      <c r="GV7" t="e">
        <f>AND('WJP Rule of Law Index 2012-2013'!AL34,"AAAAAD/dP8s=")</f>
        <v>#VALUE!</v>
      </c>
      <c r="GW7" t="e">
        <f>AND('WJP Rule of Law Index 2012-2013'!AM34,"AAAAAD/dP8w=")</f>
        <v>#VALUE!</v>
      </c>
      <c r="GX7" t="e">
        <f>AND('WJP Rule of Law Index 2012-2013'!AN34,"AAAAAD/dP80=")</f>
        <v>#VALUE!</v>
      </c>
      <c r="GY7" t="e">
        <f>AND('WJP Rule of Law Index 2012-2013'!AO34,"AAAAAD/dP84=")</f>
        <v>#VALUE!</v>
      </c>
      <c r="GZ7" t="e">
        <f>AND('WJP Rule of Law Index 2012-2013'!AP34,"AAAAAD/dP88=")</f>
        <v>#VALUE!</v>
      </c>
      <c r="HA7" t="e">
        <f>AND('WJP Rule of Law Index 2012-2013'!AQ34,"AAAAAD/dP9A=")</f>
        <v>#VALUE!</v>
      </c>
      <c r="HB7" t="e">
        <f>AND('WJP Rule of Law Index 2012-2013'!AR34,"AAAAAD/dP9E=")</f>
        <v>#VALUE!</v>
      </c>
      <c r="HC7" t="e">
        <f>AND('WJP Rule of Law Index 2012-2013'!AS34,"AAAAAD/dP9I=")</f>
        <v>#VALUE!</v>
      </c>
      <c r="HD7" t="e">
        <f>AND('WJP Rule of Law Index 2012-2013'!AT34,"AAAAAD/dP9M=")</f>
        <v>#VALUE!</v>
      </c>
      <c r="HE7">
        <f>IF('WJP Rule of Law Index 2012-2013'!35:35,"AAAAAD/dP9Q=",0)</f>
        <v>0</v>
      </c>
      <c r="HF7" t="e">
        <f>AND('WJP Rule of Law Index 2012-2013'!A35,"AAAAAD/dP9U=")</f>
        <v>#VALUE!</v>
      </c>
      <c r="HG7" t="e">
        <f>AND('WJP Rule of Law Index 2012-2013'!B35,"AAAAAD/dP9Y=")</f>
        <v>#VALUE!</v>
      </c>
      <c r="HH7" t="e">
        <f>AND('WJP Rule of Law Index 2012-2013'!#REF!,"AAAAAD/dP9c=")</f>
        <v>#REF!</v>
      </c>
      <c r="HI7" t="e">
        <f>AND('WJP Rule of Law Index 2012-2013'!C35,"AAAAAD/dP9g=")</f>
        <v>#VALUE!</v>
      </c>
      <c r="HJ7" t="e">
        <f>AND('WJP Rule of Law Index 2012-2013'!#REF!,"AAAAAD/dP9k=")</f>
        <v>#REF!</v>
      </c>
      <c r="HK7" t="e">
        <f>AND('WJP Rule of Law Index 2012-2013'!D35,"AAAAAD/dP9o=")</f>
        <v>#VALUE!</v>
      </c>
      <c r="HL7" t="e">
        <f>AND('WJP Rule of Law Index 2012-2013'!E35,"AAAAAD/dP9s=")</f>
        <v>#VALUE!</v>
      </c>
      <c r="HM7" t="e">
        <f>AND('WJP Rule of Law Index 2012-2013'!F35,"AAAAAD/dP9w=")</f>
        <v>#VALUE!</v>
      </c>
      <c r="HN7" t="e">
        <f>AND('WJP Rule of Law Index 2012-2013'!G35,"AAAAAD/dP90=")</f>
        <v>#VALUE!</v>
      </c>
      <c r="HO7" t="e">
        <f>AND('WJP Rule of Law Index 2012-2013'!H35,"AAAAAD/dP94=")</f>
        <v>#VALUE!</v>
      </c>
      <c r="HP7" t="e">
        <f>AND('WJP Rule of Law Index 2012-2013'!I35,"AAAAAD/dP98=")</f>
        <v>#VALUE!</v>
      </c>
      <c r="HQ7" t="e">
        <f>AND('WJP Rule of Law Index 2012-2013'!J35,"AAAAAD/dP+A=")</f>
        <v>#VALUE!</v>
      </c>
      <c r="HR7" t="e">
        <f>AND('WJP Rule of Law Index 2012-2013'!K35,"AAAAAD/dP+E=")</f>
        <v>#VALUE!</v>
      </c>
      <c r="HS7" t="e">
        <f>AND('WJP Rule of Law Index 2012-2013'!#REF!,"AAAAAD/dP+I=")</f>
        <v>#REF!</v>
      </c>
      <c r="HT7" t="e">
        <f>AND('WJP Rule of Law Index 2012-2013'!#REF!,"AAAAAD/dP+M=")</f>
        <v>#REF!</v>
      </c>
      <c r="HU7" t="e">
        <f>AND('WJP Rule of Law Index 2012-2013'!#REF!,"AAAAAD/dP+Q=")</f>
        <v>#REF!</v>
      </c>
      <c r="HV7" t="e">
        <f>AND('WJP Rule of Law Index 2012-2013'!P35,"AAAAAD/dP+U=")</f>
        <v>#VALUE!</v>
      </c>
      <c r="HW7" t="e">
        <f>AND('WJP Rule of Law Index 2012-2013'!Q35,"AAAAAD/dP+Y=")</f>
        <v>#VALUE!</v>
      </c>
      <c r="HX7" t="e">
        <f>AND('WJP Rule of Law Index 2012-2013'!R35,"AAAAAD/dP+c=")</f>
        <v>#VALUE!</v>
      </c>
      <c r="HY7" t="e">
        <f>AND('WJP Rule of Law Index 2012-2013'!S35,"AAAAAD/dP+g=")</f>
        <v>#VALUE!</v>
      </c>
      <c r="HZ7" t="e">
        <f>AND('WJP Rule of Law Index 2012-2013'!T35,"AAAAAD/dP+k=")</f>
        <v>#VALUE!</v>
      </c>
      <c r="IA7" t="e">
        <f>AND('WJP Rule of Law Index 2012-2013'!U35,"AAAAAD/dP+o=")</f>
        <v>#VALUE!</v>
      </c>
      <c r="IB7" t="e">
        <f>AND('WJP Rule of Law Index 2012-2013'!V35,"AAAAAD/dP+s=")</f>
        <v>#VALUE!</v>
      </c>
      <c r="IC7" t="e">
        <f>AND('WJP Rule of Law Index 2012-2013'!W35,"AAAAAD/dP+w=")</f>
        <v>#VALUE!</v>
      </c>
      <c r="ID7" t="e">
        <f>AND('WJP Rule of Law Index 2012-2013'!X35,"AAAAAD/dP+0=")</f>
        <v>#VALUE!</v>
      </c>
      <c r="IE7" t="e">
        <f>AND('WJP Rule of Law Index 2012-2013'!Y35,"AAAAAD/dP+4=")</f>
        <v>#VALUE!</v>
      </c>
      <c r="IF7" t="e">
        <f>AND('WJP Rule of Law Index 2012-2013'!Z35,"AAAAAD/dP+8=")</f>
        <v>#VALUE!</v>
      </c>
      <c r="IG7" t="e">
        <f>AND('WJP Rule of Law Index 2012-2013'!AA35,"AAAAAD/dP/A=")</f>
        <v>#VALUE!</v>
      </c>
      <c r="IH7" t="e">
        <f>AND('WJP Rule of Law Index 2012-2013'!AB35,"AAAAAD/dP/E=")</f>
        <v>#VALUE!</v>
      </c>
      <c r="II7" t="e">
        <f>AND('WJP Rule of Law Index 2012-2013'!AC35,"AAAAAD/dP/I=")</f>
        <v>#VALUE!</v>
      </c>
      <c r="IJ7" t="e">
        <f>AND('WJP Rule of Law Index 2012-2013'!AD35,"AAAAAD/dP/M=")</f>
        <v>#VALUE!</v>
      </c>
      <c r="IK7" t="e">
        <f>AND('WJP Rule of Law Index 2012-2013'!AE35,"AAAAAD/dP/Q=")</f>
        <v>#VALUE!</v>
      </c>
      <c r="IL7" t="e">
        <f>AND('WJP Rule of Law Index 2012-2013'!AF35,"AAAAAD/dP/U=")</f>
        <v>#VALUE!</v>
      </c>
      <c r="IM7" t="e">
        <f>AND('WJP Rule of Law Index 2012-2013'!AG35,"AAAAAD/dP/Y=")</f>
        <v>#VALUE!</v>
      </c>
      <c r="IN7" t="e">
        <f>AND('WJP Rule of Law Index 2012-2013'!#REF!,"AAAAAD/dP/c=")</f>
        <v>#REF!</v>
      </c>
      <c r="IO7" t="e">
        <f>AND('WJP Rule of Law Index 2012-2013'!#REF!,"AAAAAD/dP/g=")</f>
        <v>#REF!</v>
      </c>
      <c r="IP7" t="e">
        <f>AND('WJP Rule of Law Index 2012-2013'!AH35,"AAAAAD/dP/k=")</f>
        <v>#VALUE!</v>
      </c>
      <c r="IQ7" t="e">
        <f>AND('WJP Rule of Law Index 2012-2013'!AI35,"AAAAAD/dP/o=")</f>
        <v>#VALUE!</v>
      </c>
      <c r="IR7" t="e">
        <f>AND('WJP Rule of Law Index 2012-2013'!AJ35,"AAAAAD/dP/s=")</f>
        <v>#VALUE!</v>
      </c>
      <c r="IS7" t="e">
        <f>AND('WJP Rule of Law Index 2012-2013'!AK35,"AAAAAD/dP/w=")</f>
        <v>#VALUE!</v>
      </c>
      <c r="IT7" t="e">
        <f>AND('WJP Rule of Law Index 2012-2013'!AL35,"AAAAAD/dP/0=")</f>
        <v>#VALUE!</v>
      </c>
      <c r="IU7" t="e">
        <f>AND('WJP Rule of Law Index 2012-2013'!AM35,"AAAAAD/dP/4=")</f>
        <v>#VALUE!</v>
      </c>
      <c r="IV7" t="e">
        <f>AND('WJP Rule of Law Index 2012-2013'!AN35,"AAAAAD/dP/8=")</f>
        <v>#VALUE!</v>
      </c>
    </row>
    <row r="8" spans="1:256" ht="15">
      <c r="A8" t="e">
        <f>AND('WJP Rule of Law Index 2012-2013'!AO35,"AAAAAB1zsgA=")</f>
        <v>#VALUE!</v>
      </c>
      <c r="B8" t="e">
        <f>AND('WJP Rule of Law Index 2012-2013'!AP35,"AAAAAB1zsgE=")</f>
        <v>#VALUE!</v>
      </c>
      <c r="C8" t="e">
        <f>AND('WJP Rule of Law Index 2012-2013'!AQ35,"AAAAAB1zsgI=")</f>
        <v>#VALUE!</v>
      </c>
      <c r="D8" t="e">
        <f>AND('WJP Rule of Law Index 2012-2013'!AR35,"AAAAAB1zsgM=")</f>
        <v>#VALUE!</v>
      </c>
      <c r="E8" t="e">
        <f>AND('WJP Rule of Law Index 2012-2013'!AS35,"AAAAAB1zsgQ=")</f>
        <v>#VALUE!</v>
      </c>
      <c r="F8" t="e">
        <f>AND('WJP Rule of Law Index 2012-2013'!AT35,"AAAAAB1zsgU=")</f>
        <v>#VALUE!</v>
      </c>
      <c r="G8" t="str">
        <f>IF('WJP Rule of Law Index 2012-2013'!36:36,"AAAAAB1zsgY=",0)</f>
        <v>AAAAAB1zsgY=</v>
      </c>
      <c r="H8" t="e">
        <f>AND('WJP Rule of Law Index 2012-2013'!A36,"AAAAAB1zsgc=")</f>
        <v>#VALUE!</v>
      </c>
      <c r="I8" t="e">
        <f>AND('WJP Rule of Law Index 2012-2013'!B36,"AAAAAB1zsgg=")</f>
        <v>#VALUE!</v>
      </c>
      <c r="J8" t="e">
        <f>AND('WJP Rule of Law Index 2012-2013'!#REF!,"AAAAAB1zsgk=")</f>
        <v>#REF!</v>
      </c>
      <c r="K8" t="e">
        <f>AND('WJP Rule of Law Index 2012-2013'!C36,"AAAAAB1zsgo=")</f>
        <v>#VALUE!</v>
      </c>
      <c r="L8" t="e">
        <f>AND('WJP Rule of Law Index 2012-2013'!#REF!,"AAAAAB1zsgs=")</f>
        <v>#REF!</v>
      </c>
      <c r="M8" t="e">
        <f>AND('WJP Rule of Law Index 2012-2013'!D36,"AAAAAB1zsgw=")</f>
        <v>#VALUE!</v>
      </c>
      <c r="N8" t="e">
        <f>AND('WJP Rule of Law Index 2012-2013'!E36,"AAAAAB1zsg0=")</f>
        <v>#VALUE!</v>
      </c>
      <c r="O8" t="e">
        <f>AND('WJP Rule of Law Index 2012-2013'!F36,"AAAAAB1zsg4=")</f>
        <v>#VALUE!</v>
      </c>
      <c r="P8" t="e">
        <f>AND('WJP Rule of Law Index 2012-2013'!G36,"AAAAAB1zsg8=")</f>
        <v>#VALUE!</v>
      </c>
      <c r="Q8" t="e">
        <f>AND('WJP Rule of Law Index 2012-2013'!H36,"AAAAAB1zshA=")</f>
        <v>#VALUE!</v>
      </c>
      <c r="R8" t="e">
        <f>AND('WJP Rule of Law Index 2012-2013'!I36,"AAAAAB1zshE=")</f>
        <v>#VALUE!</v>
      </c>
      <c r="S8" t="e">
        <f>AND('WJP Rule of Law Index 2012-2013'!J36,"AAAAAB1zshI=")</f>
        <v>#VALUE!</v>
      </c>
      <c r="T8" t="e">
        <f>AND('WJP Rule of Law Index 2012-2013'!K36,"AAAAAB1zshM=")</f>
        <v>#VALUE!</v>
      </c>
      <c r="U8" t="e">
        <f>AND('WJP Rule of Law Index 2012-2013'!#REF!,"AAAAAB1zshQ=")</f>
        <v>#REF!</v>
      </c>
      <c r="V8" t="e">
        <f>AND('WJP Rule of Law Index 2012-2013'!#REF!,"AAAAAB1zshU=")</f>
        <v>#REF!</v>
      </c>
      <c r="W8" t="e">
        <f>AND('WJP Rule of Law Index 2012-2013'!#REF!,"AAAAAB1zshY=")</f>
        <v>#REF!</v>
      </c>
      <c r="X8" t="e">
        <f>AND('WJP Rule of Law Index 2012-2013'!P36,"AAAAAB1zshc=")</f>
        <v>#VALUE!</v>
      </c>
      <c r="Y8" t="e">
        <f>AND('WJP Rule of Law Index 2012-2013'!Q36,"AAAAAB1zshg=")</f>
        <v>#VALUE!</v>
      </c>
      <c r="Z8" t="e">
        <f>AND('WJP Rule of Law Index 2012-2013'!R36,"AAAAAB1zshk=")</f>
        <v>#VALUE!</v>
      </c>
      <c r="AA8" t="e">
        <f>AND('WJP Rule of Law Index 2012-2013'!S36,"AAAAAB1zsho=")</f>
        <v>#VALUE!</v>
      </c>
      <c r="AB8" t="e">
        <f>AND('WJP Rule of Law Index 2012-2013'!T36,"AAAAAB1zshs=")</f>
        <v>#VALUE!</v>
      </c>
      <c r="AC8" t="e">
        <f>AND('WJP Rule of Law Index 2012-2013'!U36,"AAAAAB1zshw=")</f>
        <v>#VALUE!</v>
      </c>
      <c r="AD8" t="e">
        <f>AND('WJP Rule of Law Index 2012-2013'!V36,"AAAAAB1zsh0=")</f>
        <v>#VALUE!</v>
      </c>
      <c r="AE8" t="e">
        <f>AND('WJP Rule of Law Index 2012-2013'!W36,"AAAAAB1zsh4=")</f>
        <v>#VALUE!</v>
      </c>
      <c r="AF8" t="e">
        <f>AND('WJP Rule of Law Index 2012-2013'!X36,"AAAAAB1zsh8=")</f>
        <v>#VALUE!</v>
      </c>
      <c r="AG8" t="e">
        <f>AND('WJP Rule of Law Index 2012-2013'!Y36,"AAAAAB1zsiA=")</f>
        <v>#VALUE!</v>
      </c>
      <c r="AH8" t="e">
        <f>AND('WJP Rule of Law Index 2012-2013'!Z36,"AAAAAB1zsiE=")</f>
        <v>#VALUE!</v>
      </c>
      <c r="AI8" t="e">
        <f>AND('WJP Rule of Law Index 2012-2013'!AA36,"AAAAAB1zsiI=")</f>
        <v>#VALUE!</v>
      </c>
      <c r="AJ8" t="e">
        <f>AND('WJP Rule of Law Index 2012-2013'!AB36,"AAAAAB1zsiM=")</f>
        <v>#VALUE!</v>
      </c>
      <c r="AK8" t="e">
        <f>AND('WJP Rule of Law Index 2012-2013'!AC36,"AAAAAB1zsiQ=")</f>
        <v>#VALUE!</v>
      </c>
      <c r="AL8" t="e">
        <f>AND('WJP Rule of Law Index 2012-2013'!AD36,"AAAAAB1zsiU=")</f>
        <v>#VALUE!</v>
      </c>
      <c r="AM8" t="e">
        <f>AND('WJP Rule of Law Index 2012-2013'!AE36,"AAAAAB1zsiY=")</f>
        <v>#VALUE!</v>
      </c>
      <c r="AN8" t="e">
        <f>AND('WJP Rule of Law Index 2012-2013'!AF36,"AAAAAB1zsic=")</f>
        <v>#VALUE!</v>
      </c>
      <c r="AO8" t="e">
        <f>AND('WJP Rule of Law Index 2012-2013'!AG36,"AAAAAB1zsig=")</f>
        <v>#VALUE!</v>
      </c>
      <c r="AP8" t="e">
        <f>AND('WJP Rule of Law Index 2012-2013'!#REF!,"AAAAAB1zsik=")</f>
        <v>#REF!</v>
      </c>
      <c r="AQ8" t="e">
        <f>AND('WJP Rule of Law Index 2012-2013'!#REF!,"AAAAAB1zsio=")</f>
        <v>#REF!</v>
      </c>
      <c r="AR8" t="e">
        <f>AND('WJP Rule of Law Index 2012-2013'!AH36,"AAAAAB1zsis=")</f>
        <v>#VALUE!</v>
      </c>
      <c r="AS8" t="e">
        <f>AND('WJP Rule of Law Index 2012-2013'!AI36,"AAAAAB1zsiw=")</f>
        <v>#VALUE!</v>
      </c>
      <c r="AT8" t="e">
        <f>AND('WJP Rule of Law Index 2012-2013'!AJ36,"AAAAAB1zsi0=")</f>
        <v>#VALUE!</v>
      </c>
      <c r="AU8" t="e">
        <f>AND('WJP Rule of Law Index 2012-2013'!AK36,"AAAAAB1zsi4=")</f>
        <v>#VALUE!</v>
      </c>
      <c r="AV8" t="e">
        <f>AND('WJP Rule of Law Index 2012-2013'!AL36,"AAAAAB1zsi8=")</f>
        <v>#VALUE!</v>
      </c>
      <c r="AW8" t="e">
        <f>AND('WJP Rule of Law Index 2012-2013'!AM36,"AAAAAB1zsjA=")</f>
        <v>#VALUE!</v>
      </c>
      <c r="AX8" t="e">
        <f>AND('WJP Rule of Law Index 2012-2013'!AN36,"AAAAAB1zsjE=")</f>
        <v>#VALUE!</v>
      </c>
      <c r="AY8" t="e">
        <f>AND('WJP Rule of Law Index 2012-2013'!AO36,"AAAAAB1zsjI=")</f>
        <v>#VALUE!</v>
      </c>
      <c r="AZ8" t="e">
        <f>AND('WJP Rule of Law Index 2012-2013'!AP36,"AAAAAB1zsjM=")</f>
        <v>#VALUE!</v>
      </c>
      <c r="BA8" t="e">
        <f>AND('WJP Rule of Law Index 2012-2013'!AQ36,"AAAAAB1zsjQ=")</f>
        <v>#VALUE!</v>
      </c>
      <c r="BB8" t="e">
        <f>AND('WJP Rule of Law Index 2012-2013'!AR36,"AAAAAB1zsjU=")</f>
        <v>#VALUE!</v>
      </c>
      <c r="BC8" t="e">
        <f>AND('WJP Rule of Law Index 2012-2013'!AS36,"AAAAAB1zsjY=")</f>
        <v>#VALUE!</v>
      </c>
      <c r="BD8" t="e">
        <f>AND('WJP Rule of Law Index 2012-2013'!AT36,"AAAAAB1zsjc=")</f>
        <v>#VALUE!</v>
      </c>
      <c r="BE8">
        <f>IF('WJP Rule of Law Index 2012-2013'!37:37,"AAAAAB1zsjg=",0)</f>
        <v>0</v>
      </c>
      <c r="BF8" t="e">
        <f>AND('WJP Rule of Law Index 2012-2013'!A37,"AAAAAB1zsjk=")</f>
        <v>#VALUE!</v>
      </c>
      <c r="BG8" t="e">
        <f>AND('WJP Rule of Law Index 2012-2013'!B37,"AAAAAB1zsjo=")</f>
        <v>#VALUE!</v>
      </c>
      <c r="BH8" t="e">
        <f>AND('WJP Rule of Law Index 2012-2013'!#REF!,"AAAAAB1zsjs=")</f>
        <v>#REF!</v>
      </c>
      <c r="BI8" t="e">
        <f>AND('WJP Rule of Law Index 2012-2013'!C37,"AAAAAB1zsjw=")</f>
        <v>#VALUE!</v>
      </c>
      <c r="BJ8" t="e">
        <f>AND('WJP Rule of Law Index 2012-2013'!#REF!,"AAAAAB1zsj0=")</f>
        <v>#REF!</v>
      </c>
      <c r="BK8" t="e">
        <f>AND('WJP Rule of Law Index 2012-2013'!D37,"AAAAAB1zsj4=")</f>
        <v>#VALUE!</v>
      </c>
      <c r="BL8" t="e">
        <f>AND('WJP Rule of Law Index 2012-2013'!E37,"AAAAAB1zsj8=")</f>
        <v>#VALUE!</v>
      </c>
      <c r="BM8" t="e">
        <f>AND('WJP Rule of Law Index 2012-2013'!F37,"AAAAAB1zskA=")</f>
        <v>#VALUE!</v>
      </c>
      <c r="BN8" t="e">
        <f>AND('WJP Rule of Law Index 2012-2013'!G37,"AAAAAB1zskE=")</f>
        <v>#VALUE!</v>
      </c>
      <c r="BO8" t="e">
        <f>AND('WJP Rule of Law Index 2012-2013'!H37,"AAAAAB1zskI=")</f>
        <v>#VALUE!</v>
      </c>
      <c r="BP8" t="e">
        <f>AND('WJP Rule of Law Index 2012-2013'!I37,"AAAAAB1zskM=")</f>
        <v>#VALUE!</v>
      </c>
      <c r="BQ8" t="e">
        <f>AND('WJP Rule of Law Index 2012-2013'!J37,"AAAAAB1zskQ=")</f>
        <v>#VALUE!</v>
      </c>
      <c r="BR8" t="e">
        <f>AND('WJP Rule of Law Index 2012-2013'!K37,"AAAAAB1zskU=")</f>
        <v>#VALUE!</v>
      </c>
      <c r="BS8" t="e">
        <f>AND('WJP Rule of Law Index 2012-2013'!#REF!,"AAAAAB1zskY=")</f>
        <v>#REF!</v>
      </c>
      <c r="BT8" t="e">
        <f>AND('WJP Rule of Law Index 2012-2013'!#REF!,"AAAAAB1zskc=")</f>
        <v>#REF!</v>
      </c>
      <c r="BU8" t="e">
        <f>AND('WJP Rule of Law Index 2012-2013'!#REF!,"AAAAAB1zskg=")</f>
        <v>#REF!</v>
      </c>
      <c r="BV8" t="e">
        <f>AND('WJP Rule of Law Index 2012-2013'!P37,"AAAAAB1zskk=")</f>
        <v>#VALUE!</v>
      </c>
      <c r="BW8" t="e">
        <f>AND('WJP Rule of Law Index 2012-2013'!Q37,"AAAAAB1zsko=")</f>
        <v>#VALUE!</v>
      </c>
      <c r="BX8" t="e">
        <f>AND('WJP Rule of Law Index 2012-2013'!R37,"AAAAAB1zsks=")</f>
        <v>#VALUE!</v>
      </c>
      <c r="BY8" t="e">
        <f>AND('WJP Rule of Law Index 2012-2013'!S37,"AAAAAB1zskw=")</f>
        <v>#VALUE!</v>
      </c>
      <c r="BZ8" t="e">
        <f>AND('WJP Rule of Law Index 2012-2013'!T37,"AAAAAB1zsk0=")</f>
        <v>#VALUE!</v>
      </c>
      <c r="CA8" t="e">
        <f>AND('WJP Rule of Law Index 2012-2013'!U37,"AAAAAB1zsk4=")</f>
        <v>#VALUE!</v>
      </c>
      <c r="CB8" t="e">
        <f>AND('WJP Rule of Law Index 2012-2013'!V37,"AAAAAB1zsk8=")</f>
        <v>#VALUE!</v>
      </c>
      <c r="CC8" t="e">
        <f>AND('WJP Rule of Law Index 2012-2013'!W37,"AAAAAB1zslA=")</f>
        <v>#VALUE!</v>
      </c>
      <c r="CD8" t="e">
        <f>AND('WJP Rule of Law Index 2012-2013'!X37,"AAAAAB1zslE=")</f>
        <v>#VALUE!</v>
      </c>
      <c r="CE8" t="e">
        <f>AND('WJP Rule of Law Index 2012-2013'!Y37,"AAAAAB1zslI=")</f>
        <v>#VALUE!</v>
      </c>
      <c r="CF8" t="e">
        <f>AND('WJP Rule of Law Index 2012-2013'!Z37,"AAAAAB1zslM=")</f>
        <v>#VALUE!</v>
      </c>
      <c r="CG8" t="e">
        <f>AND('WJP Rule of Law Index 2012-2013'!AA37,"AAAAAB1zslQ=")</f>
        <v>#VALUE!</v>
      </c>
      <c r="CH8" t="e">
        <f>AND('WJP Rule of Law Index 2012-2013'!AB37,"AAAAAB1zslU=")</f>
        <v>#VALUE!</v>
      </c>
      <c r="CI8" t="e">
        <f>AND('WJP Rule of Law Index 2012-2013'!AC37,"AAAAAB1zslY=")</f>
        <v>#VALUE!</v>
      </c>
      <c r="CJ8" t="e">
        <f>AND('WJP Rule of Law Index 2012-2013'!AD37,"AAAAAB1zslc=")</f>
        <v>#VALUE!</v>
      </c>
      <c r="CK8" t="e">
        <f>AND('WJP Rule of Law Index 2012-2013'!AE37,"AAAAAB1zslg=")</f>
        <v>#VALUE!</v>
      </c>
      <c r="CL8" t="e">
        <f>AND('WJP Rule of Law Index 2012-2013'!AF37,"AAAAAB1zslk=")</f>
        <v>#VALUE!</v>
      </c>
      <c r="CM8" t="e">
        <f>AND('WJP Rule of Law Index 2012-2013'!AG37,"AAAAAB1zslo=")</f>
        <v>#VALUE!</v>
      </c>
      <c r="CN8" t="e">
        <f>AND('WJP Rule of Law Index 2012-2013'!#REF!,"AAAAAB1zsls=")</f>
        <v>#REF!</v>
      </c>
      <c r="CO8" t="e">
        <f>AND('WJP Rule of Law Index 2012-2013'!#REF!,"AAAAAB1zslw=")</f>
        <v>#REF!</v>
      </c>
      <c r="CP8" t="e">
        <f>AND('WJP Rule of Law Index 2012-2013'!AH37,"AAAAAB1zsl0=")</f>
        <v>#VALUE!</v>
      </c>
      <c r="CQ8" t="e">
        <f>AND('WJP Rule of Law Index 2012-2013'!AI37,"AAAAAB1zsl4=")</f>
        <v>#VALUE!</v>
      </c>
      <c r="CR8" t="e">
        <f>AND('WJP Rule of Law Index 2012-2013'!AJ37,"AAAAAB1zsl8=")</f>
        <v>#VALUE!</v>
      </c>
      <c r="CS8" t="e">
        <f>AND('WJP Rule of Law Index 2012-2013'!AK37,"AAAAAB1zsmA=")</f>
        <v>#VALUE!</v>
      </c>
      <c r="CT8" t="e">
        <f>AND('WJP Rule of Law Index 2012-2013'!AL37,"AAAAAB1zsmE=")</f>
        <v>#VALUE!</v>
      </c>
      <c r="CU8" t="e">
        <f>AND('WJP Rule of Law Index 2012-2013'!AM37,"AAAAAB1zsmI=")</f>
        <v>#VALUE!</v>
      </c>
      <c r="CV8" t="e">
        <f>AND('WJP Rule of Law Index 2012-2013'!AN37,"AAAAAB1zsmM=")</f>
        <v>#VALUE!</v>
      </c>
      <c r="CW8" t="e">
        <f>AND('WJP Rule of Law Index 2012-2013'!AO37,"AAAAAB1zsmQ=")</f>
        <v>#VALUE!</v>
      </c>
      <c r="CX8" t="e">
        <f>AND('WJP Rule of Law Index 2012-2013'!AP37,"AAAAAB1zsmU=")</f>
        <v>#VALUE!</v>
      </c>
      <c r="CY8" t="e">
        <f>AND('WJP Rule of Law Index 2012-2013'!AQ37,"AAAAAB1zsmY=")</f>
        <v>#VALUE!</v>
      </c>
      <c r="CZ8" t="e">
        <f>AND('WJP Rule of Law Index 2012-2013'!AR37,"AAAAAB1zsmc=")</f>
        <v>#VALUE!</v>
      </c>
      <c r="DA8" t="e">
        <f>AND('WJP Rule of Law Index 2012-2013'!AS37,"AAAAAB1zsmg=")</f>
        <v>#VALUE!</v>
      </c>
      <c r="DB8" t="e">
        <f>AND('WJP Rule of Law Index 2012-2013'!AT37,"AAAAAB1zsmk=")</f>
        <v>#VALUE!</v>
      </c>
      <c r="DC8">
        <f>IF('WJP Rule of Law Index 2012-2013'!38:38,"AAAAAB1zsmo=",0)</f>
        <v>0</v>
      </c>
      <c r="DD8" t="e">
        <f>AND('WJP Rule of Law Index 2012-2013'!A38,"AAAAAB1zsms=")</f>
        <v>#VALUE!</v>
      </c>
      <c r="DE8" t="e">
        <f>AND('WJP Rule of Law Index 2012-2013'!B38,"AAAAAB1zsmw=")</f>
        <v>#VALUE!</v>
      </c>
      <c r="DF8" t="e">
        <f>AND('WJP Rule of Law Index 2012-2013'!#REF!,"AAAAAB1zsm0=")</f>
        <v>#REF!</v>
      </c>
      <c r="DG8" t="e">
        <f>AND('WJP Rule of Law Index 2012-2013'!C38,"AAAAAB1zsm4=")</f>
        <v>#VALUE!</v>
      </c>
      <c r="DH8" t="e">
        <f>AND('WJP Rule of Law Index 2012-2013'!#REF!,"AAAAAB1zsm8=")</f>
        <v>#REF!</v>
      </c>
      <c r="DI8" t="e">
        <f>AND('WJP Rule of Law Index 2012-2013'!D38,"AAAAAB1zsnA=")</f>
        <v>#VALUE!</v>
      </c>
      <c r="DJ8" t="e">
        <f>AND('WJP Rule of Law Index 2012-2013'!E38,"AAAAAB1zsnE=")</f>
        <v>#VALUE!</v>
      </c>
      <c r="DK8" t="e">
        <f>AND('WJP Rule of Law Index 2012-2013'!F38,"AAAAAB1zsnI=")</f>
        <v>#VALUE!</v>
      </c>
      <c r="DL8" t="e">
        <f>AND('WJP Rule of Law Index 2012-2013'!G38,"AAAAAB1zsnM=")</f>
        <v>#VALUE!</v>
      </c>
      <c r="DM8" t="e">
        <f>AND('WJP Rule of Law Index 2012-2013'!H38,"AAAAAB1zsnQ=")</f>
        <v>#VALUE!</v>
      </c>
      <c r="DN8" t="e">
        <f>AND('WJP Rule of Law Index 2012-2013'!I38,"AAAAAB1zsnU=")</f>
        <v>#VALUE!</v>
      </c>
      <c r="DO8" t="e">
        <f>AND('WJP Rule of Law Index 2012-2013'!J38,"AAAAAB1zsnY=")</f>
        <v>#VALUE!</v>
      </c>
      <c r="DP8" t="e">
        <f>AND('WJP Rule of Law Index 2012-2013'!K38,"AAAAAB1zsnc=")</f>
        <v>#VALUE!</v>
      </c>
      <c r="DQ8" t="e">
        <f>AND('WJP Rule of Law Index 2012-2013'!#REF!,"AAAAAB1zsng=")</f>
        <v>#REF!</v>
      </c>
      <c r="DR8" t="e">
        <f>AND('WJP Rule of Law Index 2012-2013'!#REF!,"AAAAAB1zsnk=")</f>
        <v>#REF!</v>
      </c>
      <c r="DS8" t="e">
        <f>AND('WJP Rule of Law Index 2012-2013'!#REF!,"AAAAAB1zsno=")</f>
        <v>#REF!</v>
      </c>
      <c r="DT8" t="e">
        <f>AND('WJP Rule of Law Index 2012-2013'!P38,"AAAAAB1zsns=")</f>
        <v>#VALUE!</v>
      </c>
      <c r="DU8" t="e">
        <f>AND('WJP Rule of Law Index 2012-2013'!Q38,"AAAAAB1zsnw=")</f>
        <v>#VALUE!</v>
      </c>
      <c r="DV8" t="e">
        <f>AND('WJP Rule of Law Index 2012-2013'!R38,"AAAAAB1zsn0=")</f>
        <v>#VALUE!</v>
      </c>
      <c r="DW8" t="e">
        <f>AND('WJP Rule of Law Index 2012-2013'!S38,"AAAAAB1zsn4=")</f>
        <v>#VALUE!</v>
      </c>
      <c r="DX8" t="e">
        <f>AND('WJP Rule of Law Index 2012-2013'!T38,"AAAAAB1zsn8=")</f>
        <v>#VALUE!</v>
      </c>
      <c r="DY8" t="e">
        <f>AND('WJP Rule of Law Index 2012-2013'!U38,"AAAAAB1zsoA=")</f>
        <v>#VALUE!</v>
      </c>
      <c r="DZ8" t="e">
        <f>AND('WJP Rule of Law Index 2012-2013'!V38,"AAAAAB1zsoE=")</f>
        <v>#VALUE!</v>
      </c>
      <c r="EA8" t="e">
        <f>AND('WJP Rule of Law Index 2012-2013'!W38,"AAAAAB1zsoI=")</f>
        <v>#VALUE!</v>
      </c>
      <c r="EB8" t="e">
        <f>AND('WJP Rule of Law Index 2012-2013'!X38,"AAAAAB1zsoM=")</f>
        <v>#VALUE!</v>
      </c>
      <c r="EC8" t="e">
        <f>AND('WJP Rule of Law Index 2012-2013'!Y38,"AAAAAB1zsoQ=")</f>
        <v>#VALUE!</v>
      </c>
      <c r="ED8" t="e">
        <f>AND('WJP Rule of Law Index 2012-2013'!Z38,"AAAAAB1zsoU=")</f>
        <v>#VALUE!</v>
      </c>
      <c r="EE8" t="e">
        <f>AND('WJP Rule of Law Index 2012-2013'!AA38,"AAAAAB1zsoY=")</f>
        <v>#VALUE!</v>
      </c>
      <c r="EF8" t="e">
        <f>AND('WJP Rule of Law Index 2012-2013'!AB38,"AAAAAB1zsoc=")</f>
        <v>#VALUE!</v>
      </c>
      <c r="EG8" t="e">
        <f>AND('WJP Rule of Law Index 2012-2013'!AC38,"AAAAAB1zsog=")</f>
        <v>#VALUE!</v>
      </c>
      <c r="EH8" t="e">
        <f>AND('WJP Rule of Law Index 2012-2013'!AD38,"AAAAAB1zsok=")</f>
        <v>#VALUE!</v>
      </c>
      <c r="EI8" t="e">
        <f>AND('WJP Rule of Law Index 2012-2013'!AE38,"AAAAAB1zsoo=")</f>
        <v>#VALUE!</v>
      </c>
      <c r="EJ8" t="e">
        <f>AND('WJP Rule of Law Index 2012-2013'!AF38,"AAAAAB1zsos=")</f>
        <v>#VALUE!</v>
      </c>
      <c r="EK8" t="e">
        <f>AND('WJP Rule of Law Index 2012-2013'!AG38,"AAAAAB1zsow=")</f>
        <v>#VALUE!</v>
      </c>
      <c r="EL8" t="e">
        <f>AND('WJP Rule of Law Index 2012-2013'!#REF!,"AAAAAB1zso0=")</f>
        <v>#REF!</v>
      </c>
      <c r="EM8" t="e">
        <f>AND('WJP Rule of Law Index 2012-2013'!#REF!,"AAAAAB1zso4=")</f>
        <v>#REF!</v>
      </c>
      <c r="EN8" t="e">
        <f>AND('WJP Rule of Law Index 2012-2013'!AH38,"AAAAAB1zso8=")</f>
        <v>#VALUE!</v>
      </c>
      <c r="EO8" t="e">
        <f>AND('WJP Rule of Law Index 2012-2013'!AI38,"AAAAAB1zspA=")</f>
        <v>#VALUE!</v>
      </c>
      <c r="EP8" t="e">
        <f>AND('WJP Rule of Law Index 2012-2013'!AJ38,"AAAAAB1zspE=")</f>
        <v>#VALUE!</v>
      </c>
      <c r="EQ8" t="e">
        <f>AND('WJP Rule of Law Index 2012-2013'!AK38,"AAAAAB1zspI=")</f>
        <v>#VALUE!</v>
      </c>
      <c r="ER8" t="e">
        <f>AND('WJP Rule of Law Index 2012-2013'!AL38,"AAAAAB1zspM=")</f>
        <v>#VALUE!</v>
      </c>
      <c r="ES8" t="e">
        <f>AND('WJP Rule of Law Index 2012-2013'!AM38,"AAAAAB1zspQ=")</f>
        <v>#VALUE!</v>
      </c>
      <c r="ET8" t="e">
        <f>AND('WJP Rule of Law Index 2012-2013'!AN38,"AAAAAB1zspU=")</f>
        <v>#VALUE!</v>
      </c>
      <c r="EU8" t="e">
        <f>AND('WJP Rule of Law Index 2012-2013'!AO38,"AAAAAB1zspY=")</f>
        <v>#VALUE!</v>
      </c>
      <c r="EV8" t="e">
        <f>AND('WJP Rule of Law Index 2012-2013'!AP38,"AAAAAB1zspc=")</f>
        <v>#VALUE!</v>
      </c>
      <c r="EW8" t="e">
        <f>AND('WJP Rule of Law Index 2012-2013'!AQ38,"AAAAAB1zspg=")</f>
        <v>#VALUE!</v>
      </c>
      <c r="EX8" t="e">
        <f>AND('WJP Rule of Law Index 2012-2013'!AR38,"AAAAAB1zspk=")</f>
        <v>#VALUE!</v>
      </c>
      <c r="EY8" t="e">
        <f>AND('WJP Rule of Law Index 2012-2013'!AS38,"AAAAAB1zspo=")</f>
        <v>#VALUE!</v>
      </c>
      <c r="EZ8" t="e">
        <f>AND('WJP Rule of Law Index 2012-2013'!AT38,"AAAAAB1zsps=")</f>
        <v>#VALUE!</v>
      </c>
      <c r="FA8">
        <f>IF('WJP Rule of Law Index 2012-2013'!39:39,"AAAAAB1zspw=",0)</f>
        <v>0</v>
      </c>
      <c r="FB8" t="e">
        <f>AND('WJP Rule of Law Index 2012-2013'!A39,"AAAAAB1zsp0=")</f>
        <v>#VALUE!</v>
      </c>
      <c r="FC8" t="e">
        <f>AND('WJP Rule of Law Index 2012-2013'!B39,"AAAAAB1zsp4=")</f>
        <v>#VALUE!</v>
      </c>
      <c r="FD8" t="e">
        <f>AND('WJP Rule of Law Index 2012-2013'!#REF!,"AAAAAB1zsp8=")</f>
        <v>#REF!</v>
      </c>
      <c r="FE8" t="e">
        <f>AND('WJP Rule of Law Index 2012-2013'!C39,"AAAAAB1zsqA=")</f>
        <v>#VALUE!</v>
      </c>
      <c r="FF8" t="e">
        <f>AND('WJP Rule of Law Index 2012-2013'!#REF!,"AAAAAB1zsqE=")</f>
        <v>#REF!</v>
      </c>
      <c r="FG8" t="e">
        <f>AND('WJP Rule of Law Index 2012-2013'!D39,"AAAAAB1zsqI=")</f>
        <v>#VALUE!</v>
      </c>
      <c r="FH8" t="e">
        <f>AND('WJP Rule of Law Index 2012-2013'!E39,"AAAAAB1zsqM=")</f>
        <v>#VALUE!</v>
      </c>
      <c r="FI8" t="e">
        <f>AND('WJP Rule of Law Index 2012-2013'!F39,"AAAAAB1zsqQ=")</f>
        <v>#VALUE!</v>
      </c>
      <c r="FJ8" t="e">
        <f>AND('WJP Rule of Law Index 2012-2013'!G39,"AAAAAB1zsqU=")</f>
        <v>#VALUE!</v>
      </c>
      <c r="FK8" t="e">
        <f>AND('WJP Rule of Law Index 2012-2013'!H39,"AAAAAB1zsqY=")</f>
        <v>#VALUE!</v>
      </c>
      <c r="FL8" t="e">
        <f>AND('WJP Rule of Law Index 2012-2013'!I39,"AAAAAB1zsqc=")</f>
        <v>#VALUE!</v>
      </c>
      <c r="FM8" t="e">
        <f>AND('WJP Rule of Law Index 2012-2013'!J39,"AAAAAB1zsqg=")</f>
        <v>#VALUE!</v>
      </c>
      <c r="FN8" t="e">
        <f>AND('WJP Rule of Law Index 2012-2013'!K39,"AAAAAB1zsqk=")</f>
        <v>#VALUE!</v>
      </c>
      <c r="FO8" t="e">
        <f>AND('WJP Rule of Law Index 2012-2013'!#REF!,"AAAAAB1zsqo=")</f>
        <v>#REF!</v>
      </c>
      <c r="FP8" t="e">
        <f>AND('WJP Rule of Law Index 2012-2013'!#REF!,"AAAAAB1zsqs=")</f>
        <v>#REF!</v>
      </c>
      <c r="FQ8" t="e">
        <f>AND('WJP Rule of Law Index 2012-2013'!#REF!,"AAAAAB1zsqw=")</f>
        <v>#REF!</v>
      </c>
      <c r="FR8" t="e">
        <f>AND('WJP Rule of Law Index 2012-2013'!P39,"AAAAAB1zsq0=")</f>
        <v>#VALUE!</v>
      </c>
      <c r="FS8" t="e">
        <f>AND('WJP Rule of Law Index 2012-2013'!Q39,"AAAAAB1zsq4=")</f>
        <v>#VALUE!</v>
      </c>
      <c r="FT8" t="e">
        <f>AND('WJP Rule of Law Index 2012-2013'!R39,"AAAAAB1zsq8=")</f>
        <v>#VALUE!</v>
      </c>
      <c r="FU8" t="e">
        <f>AND('WJP Rule of Law Index 2012-2013'!S39,"AAAAAB1zsrA=")</f>
        <v>#VALUE!</v>
      </c>
      <c r="FV8" t="e">
        <f>AND('WJP Rule of Law Index 2012-2013'!T39,"AAAAAB1zsrE=")</f>
        <v>#VALUE!</v>
      </c>
      <c r="FW8" t="e">
        <f>AND('WJP Rule of Law Index 2012-2013'!U39,"AAAAAB1zsrI=")</f>
        <v>#VALUE!</v>
      </c>
      <c r="FX8" t="e">
        <f>AND('WJP Rule of Law Index 2012-2013'!V39,"AAAAAB1zsrM=")</f>
        <v>#VALUE!</v>
      </c>
      <c r="FY8" t="e">
        <f>AND('WJP Rule of Law Index 2012-2013'!W39,"AAAAAB1zsrQ=")</f>
        <v>#VALUE!</v>
      </c>
      <c r="FZ8" t="e">
        <f>AND('WJP Rule of Law Index 2012-2013'!X39,"AAAAAB1zsrU=")</f>
        <v>#VALUE!</v>
      </c>
      <c r="GA8" t="e">
        <f>AND('WJP Rule of Law Index 2012-2013'!Y39,"AAAAAB1zsrY=")</f>
        <v>#VALUE!</v>
      </c>
      <c r="GB8" t="e">
        <f>AND('WJP Rule of Law Index 2012-2013'!Z39,"AAAAAB1zsrc=")</f>
        <v>#VALUE!</v>
      </c>
      <c r="GC8" t="e">
        <f>AND('WJP Rule of Law Index 2012-2013'!AA39,"AAAAAB1zsrg=")</f>
        <v>#VALUE!</v>
      </c>
      <c r="GD8" t="e">
        <f>AND('WJP Rule of Law Index 2012-2013'!AB39,"AAAAAB1zsrk=")</f>
        <v>#VALUE!</v>
      </c>
      <c r="GE8" t="e">
        <f>AND('WJP Rule of Law Index 2012-2013'!AC39,"AAAAAB1zsro=")</f>
        <v>#VALUE!</v>
      </c>
      <c r="GF8" t="e">
        <f>AND('WJP Rule of Law Index 2012-2013'!AD39,"AAAAAB1zsrs=")</f>
        <v>#VALUE!</v>
      </c>
      <c r="GG8" t="e">
        <f>AND('WJP Rule of Law Index 2012-2013'!AE39,"AAAAAB1zsrw=")</f>
        <v>#VALUE!</v>
      </c>
      <c r="GH8" t="e">
        <f>AND('WJP Rule of Law Index 2012-2013'!AF39,"AAAAAB1zsr0=")</f>
        <v>#VALUE!</v>
      </c>
      <c r="GI8" t="e">
        <f>AND('WJP Rule of Law Index 2012-2013'!AG39,"AAAAAB1zsr4=")</f>
        <v>#VALUE!</v>
      </c>
      <c r="GJ8" t="e">
        <f>AND('WJP Rule of Law Index 2012-2013'!#REF!,"AAAAAB1zsr8=")</f>
        <v>#REF!</v>
      </c>
      <c r="GK8" t="e">
        <f>AND('WJP Rule of Law Index 2012-2013'!#REF!,"AAAAAB1zssA=")</f>
        <v>#REF!</v>
      </c>
      <c r="GL8" t="e">
        <f>AND('WJP Rule of Law Index 2012-2013'!AH39,"AAAAAB1zssE=")</f>
        <v>#VALUE!</v>
      </c>
      <c r="GM8" t="e">
        <f>AND('WJP Rule of Law Index 2012-2013'!AI39,"AAAAAB1zssI=")</f>
        <v>#VALUE!</v>
      </c>
      <c r="GN8" t="e">
        <f>AND('WJP Rule of Law Index 2012-2013'!AJ39,"AAAAAB1zssM=")</f>
        <v>#VALUE!</v>
      </c>
      <c r="GO8" t="e">
        <f>AND('WJP Rule of Law Index 2012-2013'!AK39,"AAAAAB1zssQ=")</f>
        <v>#VALUE!</v>
      </c>
      <c r="GP8" t="e">
        <f>AND('WJP Rule of Law Index 2012-2013'!AL39,"AAAAAB1zssU=")</f>
        <v>#VALUE!</v>
      </c>
      <c r="GQ8" t="e">
        <f>AND('WJP Rule of Law Index 2012-2013'!AM39,"AAAAAB1zssY=")</f>
        <v>#VALUE!</v>
      </c>
      <c r="GR8" t="e">
        <f>AND('WJP Rule of Law Index 2012-2013'!AN39,"AAAAAB1zssc=")</f>
        <v>#VALUE!</v>
      </c>
      <c r="GS8" t="e">
        <f>AND('WJP Rule of Law Index 2012-2013'!AO39,"AAAAAB1zssg=")</f>
        <v>#VALUE!</v>
      </c>
      <c r="GT8" t="e">
        <f>AND('WJP Rule of Law Index 2012-2013'!AP39,"AAAAAB1zssk=")</f>
        <v>#VALUE!</v>
      </c>
      <c r="GU8" t="e">
        <f>AND('WJP Rule of Law Index 2012-2013'!AQ39,"AAAAAB1zsso=")</f>
        <v>#VALUE!</v>
      </c>
      <c r="GV8" t="e">
        <f>AND('WJP Rule of Law Index 2012-2013'!AR39,"AAAAAB1zsss=")</f>
        <v>#VALUE!</v>
      </c>
      <c r="GW8" t="e">
        <f>AND('WJP Rule of Law Index 2012-2013'!AS39,"AAAAAB1zssw=")</f>
        <v>#VALUE!</v>
      </c>
      <c r="GX8" t="e">
        <f>AND('WJP Rule of Law Index 2012-2013'!AT39,"AAAAAB1zss0=")</f>
        <v>#VALUE!</v>
      </c>
      <c r="GY8">
        <f>IF('WJP Rule of Law Index 2012-2013'!40:40,"AAAAAB1zss4=",0)</f>
        <v>0</v>
      </c>
      <c r="GZ8" t="e">
        <f>AND('WJP Rule of Law Index 2012-2013'!A40,"AAAAAB1zss8=")</f>
        <v>#VALUE!</v>
      </c>
      <c r="HA8" t="e">
        <f>AND('WJP Rule of Law Index 2012-2013'!B40,"AAAAAB1zstA=")</f>
        <v>#VALUE!</v>
      </c>
      <c r="HB8" t="e">
        <f>AND('WJP Rule of Law Index 2012-2013'!#REF!,"AAAAAB1zstE=")</f>
        <v>#REF!</v>
      </c>
      <c r="HC8" t="e">
        <f>AND('WJP Rule of Law Index 2012-2013'!C40,"AAAAAB1zstI=")</f>
        <v>#VALUE!</v>
      </c>
      <c r="HD8" t="e">
        <f>AND('WJP Rule of Law Index 2012-2013'!#REF!,"AAAAAB1zstM=")</f>
        <v>#REF!</v>
      </c>
      <c r="HE8" t="e">
        <f>AND('WJP Rule of Law Index 2012-2013'!D40,"AAAAAB1zstQ=")</f>
        <v>#VALUE!</v>
      </c>
      <c r="HF8" t="e">
        <f>AND('WJP Rule of Law Index 2012-2013'!E40,"AAAAAB1zstU=")</f>
        <v>#VALUE!</v>
      </c>
      <c r="HG8" t="e">
        <f>AND('WJP Rule of Law Index 2012-2013'!F40,"AAAAAB1zstY=")</f>
        <v>#VALUE!</v>
      </c>
      <c r="HH8" t="e">
        <f>AND('WJP Rule of Law Index 2012-2013'!G40,"AAAAAB1zstc=")</f>
        <v>#VALUE!</v>
      </c>
      <c r="HI8" t="e">
        <f>AND('WJP Rule of Law Index 2012-2013'!H40,"AAAAAB1zstg=")</f>
        <v>#VALUE!</v>
      </c>
      <c r="HJ8" t="e">
        <f>AND('WJP Rule of Law Index 2012-2013'!I40,"AAAAAB1zstk=")</f>
        <v>#VALUE!</v>
      </c>
      <c r="HK8" t="e">
        <f>AND('WJP Rule of Law Index 2012-2013'!J40,"AAAAAB1zsto=")</f>
        <v>#VALUE!</v>
      </c>
      <c r="HL8" t="e">
        <f>AND('WJP Rule of Law Index 2012-2013'!K40,"AAAAAB1zsts=")</f>
        <v>#VALUE!</v>
      </c>
      <c r="HM8" t="e">
        <f>AND('WJP Rule of Law Index 2012-2013'!#REF!,"AAAAAB1zstw=")</f>
        <v>#REF!</v>
      </c>
      <c r="HN8" t="e">
        <f>AND('WJP Rule of Law Index 2012-2013'!#REF!,"AAAAAB1zst0=")</f>
        <v>#REF!</v>
      </c>
      <c r="HO8" t="e">
        <f>AND('WJP Rule of Law Index 2012-2013'!#REF!,"AAAAAB1zst4=")</f>
        <v>#REF!</v>
      </c>
      <c r="HP8" t="e">
        <f>AND('WJP Rule of Law Index 2012-2013'!P40,"AAAAAB1zst8=")</f>
        <v>#VALUE!</v>
      </c>
      <c r="HQ8" t="e">
        <f>AND('WJP Rule of Law Index 2012-2013'!Q40,"AAAAAB1zsuA=")</f>
        <v>#VALUE!</v>
      </c>
      <c r="HR8" t="e">
        <f>AND('WJP Rule of Law Index 2012-2013'!R40,"AAAAAB1zsuE=")</f>
        <v>#VALUE!</v>
      </c>
      <c r="HS8" t="e">
        <f>AND('WJP Rule of Law Index 2012-2013'!S40,"AAAAAB1zsuI=")</f>
        <v>#VALUE!</v>
      </c>
      <c r="HT8" t="e">
        <f>AND('WJP Rule of Law Index 2012-2013'!T40,"AAAAAB1zsuM=")</f>
        <v>#VALUE!</v>
      </c>
      <c r="HU8" t="e">
        <f>AND('WJP Rule of Law Index 2012-2013'!U40,"AAAAAB1zsuQ=")</f>
        <v>#VALUE!</v>
      </c>
      <c r="HV8" t="e">
        <f>AND('WJP Rule of Law Index 2012-2013'!V40,"AAAAAB1zsuU=")</f>
        <v>#VALUE!</v>
      </c>
      <c r="HW8" t="e">
        <f>AND('WJP Rule of Law Index 2012-2013'!W40,"AAAAAB1zsuY=")</f>
        <v>#VALUE!</v>
      </c>
      <c r="HX8" t="e">
        <f>AND('WJP Rule of Law Index 2012-2013'!X40,"AAAAAB1zsuc=")</f>
        <v>#VALUE!</v>
      </c>
      <c r="HY8" t="e">
        <f>AND('WJP Rule of Law Index 2012-2013'!Y40,"AAAAAB1zsug=")</f>
        <v>#VALUE!</v>
      </c>
      <c r="HZ8" t="e">
        <f>AND('WJP Rule of Law Index 2012-2013'!Z40,"AAAAAB1zsuk=")</f>
        <v>#VALUE!</v>
      </c>
      <c r="IA8" t="e">
        <f>AND('WJP Rule of Law Index 2012-2013'!AA40,"AAAAAB1zsuo=")</f>
        <v>#VALUE!</v>
      </c>
      <c r="IB8" t="e">
        <f>AND('WJP Rule of Law Index 2012-2013'!AB40,"AAAAAB1zsus=")</f>
        <v>#VALUE!</v>
      </c>
      <c r="IC8" t="e">
        <f>AND('WJP Rule of Law Index 2012-2013'!AC40,"AAAAAB1zsuw=")</f>
        <v>#VALUE!</v>
      </c>
      <c r="ID8" t="e">
        <f>AND('WJP Rule of Law Index 2012-2013'!AD40,"AAAAAB1zsu0=")</f>
        <v>#VALUE!</v>
      </c>
      <c r="IE8" t="e">
        <f>AND('WJP Rule of Law Index 2012-2013'!AE40,"AAAAAB1zsu4=")</f>
        <v>#VALUE!</v>
      </c>
      <c r="IF8" t="e">
        <f>AND('WJP Rule of Law Index 2012-2013'!AF40,"AAAAAB1zsu8=")</f>
        <v>#VALUE!</v>
      </c>
      <c r="IG8" t="e">
        <f>AND('WJP Rule of Law Index 2012-2013'!AG40,"AAAAAB1zsvA=")</f>
        <v>#VALUE!</v>
      </c>
      <c r="IH8" t="e">
        <f>AND('WJP Rule of Law Index 2012-2013'!#REF!,"AAAAAB1zsvE=")</f>
        <v>#REF!</v>
      </c>
      <c r="II8" t="e">
        <f>AND('WJP Rule of Law Index 2012-2013'!#REF!,"AAAAAB1zsvI=")</f>
        <v>#REF!</v>
      </c>
      <c r="IJ8" t="e">
        <f>AND('WJP Rule of Law Index 2012-2013'!AH40,"AAAAAB1zsvM=")</f>
        <v>#VALUE!</v>
      </c>
      <c r="IK8" t="e">
        <f>AND('WJP Rule of Law Index 2012-2013'!AI40,"AAAAAB1zsvQ=")</f>
        <v>#VALUE!</v>
      </c>
      <c r="IL8" t="e">
        <f>AND('WJP Rule of Law Index 2012-2013'!AJ40,"AAAAAB1zsvU=")</f>
        <v>#VALUE!</v>
      </c>
      <c r="IM8" t="e">
        <f>AND('WJP Rule of Law Index 2012-2013'!AK40,"AAAAAB1zsvY=")</f>
        <v>#VALUE!</v>
      </c>
      <c r="IN8" t="e">
        <f>AND('WJP Rule of Law Index 2012-2013'!AL40,"AAAAAB1zsvc=")</f>
        <v>#VALUE!</v>
      </c>
      <c r="IO8" t="e">
        <f>AND('WJP Rule of Law Index 2012-2013'!AM40,"AAAAAB1zsvg=")</f>
        <v>#VALUE!</v>
      </c>
      <c r="IP8" t="e">
        <f>AND('WJP Rule of Law Index 2012-2013'!AN40,"AAAAAB1zsvk=")</f>
        <v>#VALUE!</v>
      </c>
      <c r="IQ8" t="e">
        <f>AND('WJP Rule of Law Index 2012-2013'!AO40,"AAAAAB1zsvo=")</f>
        <v>#VALUE!</v>
      </c>
      <c r="IR8" t="e">
        <f>AND('WJP Rule of Law Index 2012-2013'!AP40,"AAAAAB1zsvs=")</f>
        <v>#VALUE!</v>
      </c>
      <c r="IS8" t="e">
        <f>AND('WJP Rule of Law Index 2012-2013'!AQ40,"AAAAAB1zsvw=")</f>
        <v>#VALUE!</v>
      </c>
      <c r="IT8" t="e">
        <f>AND('WJP Rule of Law Index 2012-2013'!AR40,"AAAAAB1zsv0=")</f>
        <v>#VALUE!</v>
      </c>
      <c r="IU8" t="e">
        <f>AND('WJP Rule of Law Index 2012-2013'!AS40,"AAAAAB1zsv4=")</f>
        <v>#VALUE!</v>
      </c>
      <c r="IV8" t="e">
        <f>AND('WJP Rule of Law Index 2012-2013'!AT40,"AAAAAB1zsv8=")</f>
        <v>#VALUE!</v>
      </c>
    </row>
    <row r="9" spans="1:256" ht="15">
      <c r="A9" t="e">
        <f>IF('WJP Rule of Law Index 2012-2013'!41:41,"AAAAADc/rwA=",0)</f>
        <v>#VALUE!</v>
      </c>
      <c r="B9" t="e">
        <f>AND('WJP Rule of Law Index 2012-2013'!A41,"AAAAADc/rwE=")</f>
        <v>#VALUE!</v>
      </c>
      <c r="C9" t="e">
        <f>AND('WJP Rule of Law Index 2012-2013'!B41,"AAAAADc/rwI=")</f>
        <v>#VALUE!</v>
      </c>
      <c r="D9" t="e">
        <f>AND('WJP Rule of Law Index 2012-2013'!#REF!,"AAAAADc/rwM=")</f>
        <v>#REF!</v>
      </c>
      <c r="E9" t="e">
        <f>AND('WJP Rule of Law Index 2012-2013'!C41,"AAAAADc/rwQ=")</f>
        <v>#VALUE!</v>
      </c>
      <c r="F9" t="e">
        <f>AND('WJP Rule of Law Index 2012-2013'!#REF!,"AAAAADc/rwU=")</f>
        <v>#REF!</v>
      </c>
      <c r="G9" t="e">
        <f>AND('WJP Rule of Law Index 2012-2013'!D41,"AAAAADc/rwY=")</f>
        <v>#VALUE!</v>
      </c>
      <c r="H9" t="e">
        <f>AND('WJP Rule of Law Index 2012-2013'!E41,"AAAAADc/rwc=")</f>
        <v>#VALUE!</v>
      </c>
      <c r="I9" t="e">
        <f>AND('WJP Rule of Law Index 2012-2013'!F41,"AAAAADc/rwg=")</f>
        <v>#VALUE!</v>
      </c>
      <c r="J9" t="e">
        <f>AND('WJP Rule of Law Index 2012-2013'!G41,"AAAAADc/rwk=")</f>
        <v>#VALUE!</v>
      </c>
      <c r="K9" t="e">
        <f>AND('WJP Rule of Law Index 2012-2013'!H41,"AAAAADc/rwo=")</f>
        <v>#VALUE!</v>
      </c>
      <c r="L9" t="e">
        <f>AND('WJP Rule of Law Index 2012-2013'!I41,"AAAAADc/rws=")</f>
        <v>#VALUE!</v>
      </c>
      <c r="M9" t="e">
        <f>AND('WJP Rule of Law Index 2012-2013'!J41,"AAAAADc/rww=")</f>
        <v>#VALUE!</v>
      </c>
      <c r="N9" t="e">
        <f>AND('WJP Rule of Law Index 2012-2013'!K41,"AAAAADc/rw0=")</f>
        <v>#VALUE!</v>
      </c>
      <c r="O9" t="e">
        <f>AND('WJP Rule of Law Index 2012-2013'!#REF!,"AAAAADc/rw4=")</f>
        <v>#REF!</v>
      </c>
      <c r="P9" t="e">
        <f>AND('WJP Rule of Law Index 2012-2013'!#REF!,"AAAAADc/rw8=")</f>
        <v>#REF!</v>
      </c>
      <c r="Q9" t="e">
        <f>AND('WJP Rule of Law Index 2012-2013'!#REF!,"AAAAADc/rxA=")</f>
        <v>#REF!</v>
      </c>
      <c r="R9" t="e">
        <f>AND('WJP Rule of Law Index 2012-2013'!P41,"AAAAADc/rxE=")</f>
        <v>#VALUE!</v>
      </c>
      <c r="S9" t="e">
        <f>AND('WJP Rule of Law Index 2012-2013'!Q41,"AAAAADc/rxI=")</f>
        <v>#VALUE!</v>
      </c>
      <c r="T9" t="e">
        <f>AND('WJP Rule of Law Index 2012-2013'!R41,"AAAAADc/rxM=")</f>
        <v>#VALUE!</v>
      </c>
      <c r="U9" t="e">
        <f>AND('WJP Rule of Law Index 2012-2013'!S41,"AAAAADc/rxQ=")</f>
        <v>#VALUE!</v>
      </c>
      <c r="V9" t="e">
        <f>AND('WJP Rule of Law Index 2012-2013'!T41,"AAAAADc/rxU=")</f>
        <v>#VALUE!</v>
      </c>
      <c r="W9" t="e">
        <f>AND('WJP Rule of Law Index 2012-2013'!U41,"AAAAADc/rxY=")</f>
        <v>#VALUE!</v>
      </c>
      <c r="X9" t="e">
        <f>AND('WJP Rule of Law Index 2012-2013'!V41,"AAAAADc/rxc=")</f>
        <v>#VALUE!</v>
      </c>
      <c r="Y9" t="e">
        <f>AND('WJP Rule of Law Index 2012-2013'!W41,"AAAAADc/rxg=")</f>
        <v>#VALUE!</v>
      </c>
      <c r="Z9" t="e">
        <f>AND('WJP Rule of Law Index 2012-2013'!X41,"AAAAADc/rxk=")</f>
        <v>#VALUE!</v>
      </c>
      <c r="AA9" t="e">
        <f>AND('WJP Rule of Law Index 2012-2013'!Y41,"AAAAADc/rxo=")</f>
        <v>#VALUE!</v>
      </c>
      <c r="AB9" t="e">
        <f>AND('WJP Rule of Law Index 2012-2013'!Z41,"AAAAADc/rxs=")</f>
        <v>#VALUE!</v>
      </c>
      <c r="AC9" t="e">
        <f>AND('WJP Rule of Law Index 2012-2013'!AA41,"AAAAADc/rxw=")</f>
        <v>#VALUE!</v>
      </c>
      <c r="AD9" t="e">
        <f>AND('WJP Rule of Law Index 2012-2013'!AB41,"AAAAADc/rx0=")</f>
        <v>#VALUE!</v>
      </c>
      <c r="AE9" t="e">
        <f>AND('WJP Rule of Law Index 2012-2013'!AC41,"AAAAADc/rx4=")</f>
        <v>#VALUE!</v>
      </c>
      <c r="AF9" t="e">
        <f>AND('WJP Rule of Law Index 2012-2013'!AD41,"AAAAADc/rx8=")</f>
        <v>#VALUE!</v>
      </c>
      <c r="AG9" t="e">
        <f>AND('WJP Rule of Law Index 2012-2013'!AE41,"AAAAADc/ryA=")</f>
        <v>#VALUE!</v>
      </c>
      <c r="AH9" t="e">
        <f>AND('WJP Rule of Law Index 2012-2013'!AF41,"AAAAADc/ryE=")</f>
        <v>#VALUE!</v>
      </c>
      <c r="AI9" t="e">
        <f>AND('WJP Rule of Law Index 2012-2013'!AG41,"AAAAADc/ryI=")</f>
        <v>#VALUE!</v>
      </c>
      <c r="AJ9" t="e">
        <f>AND('WJP Rule of Law Index 2012-2013'!#REF!,"AAAAADc/ryM=")</f>
        <v>#REF!</v>
      </c>
      <c r="AK9" t="e">
        <f>AND('WJP Rule of Law Index 2012-2013'!#REF!,"AAAAADc/ryQ=")</f>
        <v>#REF!</v>
      </c>
      <c r="AL9" t="e">
        <f>AND('WJP Rule of Law Index 2012-2013'!AH41,"AAAAADc/ryU=")</f>
        <v>#VALUE!</v>
      </c>
      <c r="AM9" t="e">
        <f>AND('WJP Rule of Law Index 2012-2013'!AI41,"AAAAADc/ryY=")</f>
        <v>#VALUE!</v>
      </c>
      <c r="AN9" t="e">
        <f>AND('WJP Rule of Law Index 2012-2013'!AJ41,"AAAAADc/ryc=")</f>
        <v>#VALUE!</v>
      </c>
      <c r="AO9" t="e">
        <f>AND('WJP Rule of Law Index 2012-2013'!AK41,"AAAAADc/ryg=")</f>
        <v>#VALUE!</v>
      </c>
      <c r="AP9" t="e">
        <f>AND('WJP Rule of Law Index 2012-2013'!AL41,"AAAAADc/ryk=")</f>
        <v>#VALUE!</v>
      </c>
      <c r="AQ9" t="e">
        <f>AND('WJP Rule of Law Index 2012-2013'!AM41,"AAAAADc/ryo=")</f>
        <v>#VALUE!</v>
      </c>
      <c r="AR9" t="e">
        <f>AND('WJP Rule of Law Index 2012-2013'!AN41,"AAAAADc/rys=")</f>
        <v>#VALUE!</v>
      </c>
      <c r="AS9" t="e">
        <f>AND('WJP Rule of Law Index 2012-2013'!AO41,"AAAAADc/ryw=")</f>
        <v>#VALUE!</v>
      </c>
      <c r="AT9" t="e">
        <f>AND('WJP Rule of Law Index 2012-2013'!AP41,"AAAAADc/ry0=")</f>
        <v>#VALUE!</v>
      </c>
      <c r="AU9" t="e">
        <f>AND('WJP Rule of Law Index 2012-2013'!AQ41,"AAAAADc/ry4=")</f>
        <v>#VALUE!</v>
      </c>
      <c r="AV9" t="e">
        <f>AND('WJP Rule of Law Index 2012-2013'!AR41,"AAAAADc/ry8=")</f>
        <v>#VALUE!</v>
      </c>
      <c r="AW9" t="e">
        <f>AND('WJP Rule of Law Index 2012-2013'!AS41,"AAAAADc/rzA=")</f>
        <v>#VALUE!</v>
      </c>
      <c r="AX9" t="e">
        <f>AND('WJP Rule of Law Index 2012-2013'!AT41,"AAAAADc/rzE=")</f>
        <v>#VALUE!</v>
      </c>
      <c r="AY9" t="str">
        <f>IF('WJP Rule of Law Index 2012-2013'!42:42,"AAAAADc/rzI=",0)</f>
        <v>AAAAADc/rzI=</v>
      </c>
      <c r="AZ9" t="e">
        <f>AND('WJP Rule of Law Index 2012-2013'!A42,"AAAAADc/rzM=")</f>
        <v>#VALUE!</v>
      </c>
      <c r="BA9" t="e">
        <f>AND('WJP Rule of Law Index 2012-2013'!B42,"AAAAADc/rzQ=")</f>
        <v>#VALUE!</v>
      </c>
      <c r="BB9" t="e">
        <f>AND('WJP Rule of Law Index 2012-2013'!#REF!,"AAAAADc/rzU=")</f>
        <v>#REF!</v>
      </c>
      <c r="BC9" t="e">
        <f>AND('WJP Rule of Law Index 2012-2013'!C42,"AAAAADc/rzY=")</f>
        <v>#VALUE!</v>
      </c>
      <c r="BD9" t="e">
        <f>AND('WJP Rule of Law Index 2012-2013'!#REF!,"AAAAADc/rzc=")</f>
        <v>#REF!</v>
      </c>
      <c r="BE9" t="e">
        <f>AND('WJP Rule of Law Index 2012-2013'!D42,"AAAAADc/rzg=")</f>
        <v>#VALUE!</v>
      </c>
      <c r="BF9" t="e">
        <f>AND('WJP Rule of Law Index 2012-2013'!E42,"AAAAADc/rzk=")</f>
        <v>#VALUE!</v>
      </c>
      <c r="BG9" t="e">
        <f>AND('WJP Rule of Law Index 2012-2013'!F42,"AAAAADc/rzo=")</f>
        <v>#VALUE!</v>
      </c>
      <c r="BH9" t="e">
        <f>AND('WJP Rule of Law Index 2012-2013'!G42,"AAAAADc/rzs=")</f>
        <v>#VALUE!</v>
      </c>
      <c r="BI9" t="e">
        <f>AND('WJP Rule of Law Index 2012-2013'!H42,"AAAAADc/rzw=")</f>
        <v>#VALUE!</v>
      </c>
      <c r="BJ9" t="e">
        <f>AND('WJP Rule of Law Index 2012-2013'!I42,"AAAAADc/rz0=")</f>
        <v>#VALUE!</v>
      </c>
      <c r="BK9" t="e">
        <f>AND('WJP Rule of Law Index 2012-2013'!J42,"AAAAADc/rz4=")</f>
        <v>#VALUE!</v>
      </c>
      <c r="BL9" t="e">
        <f>AND('WJP Rule of Law Index 2012-2013'!K42,"AAAAADc/rz8=")</f>
        <v>#VALUE!</v>
      </c>
      <c r="BM9" t="e">
        <f>AND('WJP Rule of Law Index 2012-2013'!#REF!,"AAAAADc/r0A=")</f>
        <v>#REF!</v>
      </c>
      <c r="BN9" t="e">
        <f>AND('WJP Rule of Law Index 2012-2013'!#REF!,"AAAAADc/r0E=")</f>
        <v>#REF!</v>
      </c>
      <c r="BO9" t="e">
        <f>AND('WJP Rule of Law Index 2012-2013'!#REF!,"AAAAADc/r0I=")</f>
        <v>#REF!</v>
      </c>
      <c r="BP9" t="e">
        <f>AND('WJP Rule of Law Index 2012-2013'!P42,"AAAAADc/r0M=")</f>
        <v>#VALUE!</v>
      </c>
      <c r="BQ9" t="e">
        <f>AND('WJP Rule of Law Index 2012-2013'!Q42,"AAAAADc/r0Q=")</f>
        <v>#VALUE!</v>
      </c>
      <c r="BR9" t="e">
        <f>AND('WJP Rule of Law Index 2012-2013'!R42,"AAAAADc/r0U=")</f>
        <v>#VALUE!</v>
      </c>
      <c r="BS9" t="e">
        <f>AND('WJP Rule of Law Index 2012-2013'!S42,"AAAAADc/r0Y=")</f>
        <v>#VALUE!</v>
      </c>
      <c r="BT9" t="e">
        <f>AND('WJP Rule of Law Index 2012-2013'!T42,"AAAAADc/r0c=")</f>
        <v>#VALUE!</v>
      </c>
      <c r="BU9" t="e">
        <f>AND('WJP Rule of Law Index 2012-2013'!U42,"AAAAADc/r0g=")</f>
        <v>#VALUE!</v>
      </c>
      <c r="BV9" t="e">
        <f>AND('WJP Rule of Law Index 2012-2013'!V42,"AAAAADc/r0k=")</f>
        <v>#VALUE!</v>
      </c>
      <c r="BW9" t="e">
        <f>AND('WJP Rule of Law Index 2012-2013'!W42,"AAAAADc/r0o=")</f>
        <v>#VALUE!</v>
      </c>
      <c r="BX9" t="e">
        <f>AND('WJP Rule of Law Index 2012-2013'!X42,"AAAAADc/r0s=")</f>
        <v>#VALUE!</v>
      </c>
      <c r="BY9" t="e">
        <f>AND('WJP Rule of Law Index 2012-2013'!Y42,"AAAAADc/r0w=")</f>
        <v>#VALUE!</v>
      </c>
      <c r="BZ9" t="e">
        <f>AND('WJP Rule of Law Index 2012-2013'!Z42,"AAAAADc/r00=")</f>
        <v>#VALUE!</v>
      </c>
      <c r="CA9" t="e">
        <f>AND('WJP Rule of Law Index 2012-2013'!AA42,"AAAAADc/r04=")</f>
        <v>#VALUE!</v>
      </c>
      <c r="CB9" t="e">
        <f>AND('WJP Rule of Law Index 2012-2013'!AB42,"AAAAADc/r08=")</f>
        <v>#VALUE!</v>
      </c>
      <c r="CC9" t="e">
        <f>AND('WJP Rule of Law Index 2012-2013'!AC42,"AAAAADc/r1A=")</f>
        <v>#VALUE!</v>
      </c>
      <c r="CD9" t="e">
        <f>AND('WJP Rule of Law Index 2012-2013'!AD42,"AAAAADc/r1E=")</f>
        <v>#VALUE!</v>
      </c>
      <c r="CE9" t="e">
        <f>AND('WJP Rule of Law Index 2012-2013'!AE42,"AAAAADc/r1I=")</f>
        <v>#VALUE!</v>
      </c>
      <c r="CF9" t="e">
        <f>AND('WJP Rule of Law Index 2012-2013'!AF42,"AAAAADc/r1M=")</f>
        <v>#VALUE!</v>
      </c>
      <c r="CG9" t="e">
        <f>AND('WJP Rule of Law Index 2012-2013'!AG42,"AAAAADc/r1Q=")</f>
        <v>#VALUE!</v>
      </c>
      <c r="CH9" t="e">
        <f>AND('WJP Rule of Law Index 2012-2013'!#REF!,"AAAAADc/r1U=")</f>
        <v>#REF!</v>
      </c>
      <c r="CI9" t="e">
        <f>AND('WJP Rule of Law Index 2012-2013'!#REF!,"AAAAADc/r1Y=")</f>
        <v>#REF!</v>
      </c>
      <c r="CJ9" t="e">
        <f>AND('WJP Rule of Law Index 2012-2013'!AH42,"AAAAADc/r1c=")</f>
        <v>#VALUE!</v>
      </c>
      <c r="CK9" t="e">
        <f>AND('WJP Rule of Law Index 2012-2013'!AI42,"AAAAADc/r1g=")</f>
        <v>#VALUE!</v>
      </c>
      <c r="CL9" t="e">
        <f>AND('WJP Rule of Law Index 2012-2013'!AJ42,"AAAAADc/r1k=")</f>
        <v>#VALUE!</v>
      </c>
      <c r="CM9" t="e">
        <f>AND('WJP Rule of Law Index 2012-2013'!AK42,"AAAAADc/r1o=")</f>
        <v>#VALUE!</v>
      </c>
      <c r="CN9" t="e">
        <f>AND('WJP Rule of Law Index 2012-2013'!AL42,"AAAAADc/r1s=")</f>
        <v>#VALUE!</v>
      </c>
      <c r="CO9" t="e">
        <f>AND('WJP Rule of Law Index 2012-2013'!AM42,"AAAAADc/r1w=")</f>
        <v>#VALUE!</v>
      </c>
      <c r="CP9" t="e">
        <f>AND('WJP Rule of Law Index 2012-2013'!AN42,"AAAAADc/r10=")</f>
        <v>#VALUE!</v>
      </c>
      <c r="CQ9" t="e">
        <f>AND('WJP Rule of Law Index 2012-2013'!AO42,"AAAAADc/r14=")</f>
        <v>#VALUE!</v>
      </c>
      <c r="CR9" t="e">
        <f>AND('WJP Rule of Law Index 2012-2013'!AP42,"AAAAADc/r18=")</f>
        <v>#VALUE!</v>
      </c>
      <c r="CS9" t="e">
        <f>AND('WJP Rule of Law Index 2012-2013'!AQ42,"AAAAADc/r2A=")</f>
        <v>#VALUE!</v>
      </c>
      <c r="CT9" t="e">
        <f>AND('WJP Rule of Law Index 2012-2013'!AR42,"AAAAADc/r2E=")</f>
        <v>#VALUE!</v>
      </c>
      <c r="CU9" t="e">
        <f>AND('WJP Rule of Law Index 2012-2013'!AS42,"AAAAADc/r2I=")</f>
        <v>#VALUE!</v>
      </c>
      <c r="CV9" t="e">
        <f>AND('WJP Rule of Law Index 2012-2013'!AT42,"AAAAADc/r2M=")</f>
        <v>#VALUE!</v>
      </c>
      <c r="CW9">
        <f>IF('WJP Rule of Law Index 2012-2013'!43:43,"AAAAADc/r2Q=",0)</f>
        <v>0</v>
      </c>
      <c r="CX9" t="e">
        <f>AND('WJP Rule of Law Index 2012-2013'!A43,"AAAAADc/r2U=")</f>
        <v>#VALUE!</v>
      </c>
      <c r="CY9" t="e">
        <f>AND('WJP Rule of Law Index 2012-2013'!B43,"AAAAADc/r2Y=")</f>
        <v>#VALUE!</v>
      </c>
      <c r="CZ9" t="e">
        <f>AND('WJP Rule of Law Index 2012-2013'!#REF!,"AAAAADc/r2c=")</f>
        <v>#REF!</v>
      </c>
      <c r="DA9" t="e">
        <f>AND('WJP Rule of Law Index 2012-2013'!C43,"AAAAADc/r2g=")</f>
        <v>#VALUE!</v>
      </c>
      <c r="DB9" t="e">
        <f>AND('WJP Rule of Law Index 2012-2013'!#REF!,"AAAAADc/r2k=")</f>
        <v>#REF!</v>
      </c>
      <c r="DC9" t="e">
        <f>AND('WJP Rule of Law Index 2012-2013'!D43,"AAAAADc/r2o=")</f>
        <v>#VALUE!</v>
      </c>
      <c r="DD9" t="e">
        <f>AND('WJP Rule of Law Index 2012-2013'!E43,"AAAAADc/r2s=")</f>
        <v>#VALUE!</v>
      </c>
      <c r="DE9" t="e">
        <f>AND('WJP Rule of Law Index 2012-2013'!F43,"AAAAADc/r2w=")</f>
        <v>#VALUE!</v>
      </c>
      <c r="DF9" t="e">
        <f>AND('WJP Rule of Law Index 2012-2013'!G43,"AAAAADc/r20=")</f>
        <v>#VALUE!</v>
      </c>
      <c r="DG9" t="e">
        <f>AND('WJP Rule of Law Index 2012-2013'!H43,"AAAAADc/r24=")</f>
        <v>#VALUE!</v>
      </c>
      <c r="DH9" t="e">
        <f>AND('WJP Rule of Law Index 2012-2013'!I43,"AAAAADc/r28=")</f>
        <v>#VALUE!</v>
      </c>
      <c r="DI9" t="e">
        <f>AND('WJP Rule of Law Index 2012-2013'!J43,"AAAAADc/r3A=")</f>
        <v>#VALUE!</v>
      </c>
      <c r="DJ9" t="e">
        <f>AND('WJP Rule of Law Index 2012-2013'!K43,"AAAAADc/r3E=")</f>
        <v>#VALUE!</v>
      </c>
      <c r="DK9" t="e">
        <f>AND('WJP Rule of Law Index 2012-2013'!#REF!,"AAAAADc/r3I=")</f>
        <v>#REF!</v>
      </c>
      <c r="DL9" t="e">
        <f>AND('WJP Rule of Law Index 2012-2013'!#REF!,"AAAAADc/r3M=")</f>
        <v>#REF!</v>
      </c>
      <c r="DM9" t="e">
        <f>AND('WJP Rule of Law Index 2012-2013'!#REF!,"AAAAADc/r3Q=")</f>
        <v>#REF!</v>
      </c>
      <c r="DN9" t="e">
        <f>AND('WJP Rule of Law Index 2012-2013'!P43,"AAAAADc/r3U=")</f>
        <v>#VALUE!</v>
      </c>
      <c r="DO9" t="e">
        <f>AND('WJP Rule of Law Index 2012-2013'!Q43,"AAAAADc/r3Y=")</f>
        <v>#VALUE!</v>
      </c>
      <c r="DP9" t="e">
        <f>AND('WJP Rule of Law Index 2012-2013'!R43,"AAAAADc/r3c=")</f>
        <v>#VALUE!</v>
      </c>
      <c r="DQ9" t="e">
        <f>AND('WJP Rule of Law Index 2012-2013'!S43,"AAAAADc/r3g=")</f>
        <v>#VALUE!</v>
      </c>
      <c r="DR9" t="e">
        <f>AND('WJP Rule of Law Index 2012-2013'!T43,"AAAAADc/r3k=")</f>
        <v>#VALUE!</v>
      </c>
      <c r="DS9" t="e">
        <f>AND('WJP Rule of Law Index 2012-2013'!U43,"AAAAADc/r3o=")</f>
        <v>#VALUE!</v>
      </c>
      <c r="DT9" t="e">
        <f>AND('WJP Rule of Law Index 2012-2013'!V43,"AAAAADc/r3s=")</f>
        <v>#VALUE!</v>
      </c>
      <c r="DU9" t="e">
        <f>AND('WJP Rule of Law Index 2012-2013'!W43,"AAAAADc/r3w=")</f>
        <v>#VALUE!</v>
      </c>
      <c r="DV9" t="e">
        <f>AND('WJP Rule of Law Index 2012-2013'!X43,"AAAAADc/r30=")</f>
        <v>#VALUE!</v>
      </c>
      <c r="DW9" t="e">
        <f>AND('WJP Rule of Law Index 2012-2013'!Y43,"AAAAADc/r34=")</f>
        <v>#VALUE!</v>
      </c>
      <c r="DX9" t="e">
        <f>AND('WJP Rule of Law Index 2012-2013'!Z43,"AAAAADc/r38=")</f>
        <v>#VALUE!</v>
      </c>
      <c r="DY9" t="e">
        <f>AND('WJP Rule of Law Index 2012-2013'!AA43,"AAAAADc/r4A=")</f>
        <v>#VALUE!</v>
      </c>
      <c r="DZ9" t="e">
        <f>AND('WJP Rule of Law Index 2012-2013'!AB43,"AAAAADc/r4E=")</f>
        <v>#VALUE!</v>
      </c>
      <c r="EA9" t="e">
        <f>AND('WJP Rule of Law Index 2012-2013'!AC43,"AAAAADc/r4I=")</f>
        <v>#VALUE!</v>
      </c>
      <c r="EB9" t="e">
        <f>AND('WJP Rule of Law Index 2012-2013'!AD43,"AAAAADc/r4M=")</f>
        <v>#VALUE!</v>
      </c>
      <c r="EC9" t="e">
        <f>AND('WJP Rule of Law Index 2012-2013'!AE43,"AAAAADc/r4Q=")</f>
        <v>#VALUE!</v>
      </c>
      <c r="ED9" t="e">
        <f>AND('WJP Rule of Law Index 2012-2013'!AF43,"AAAAADc/r4U=")</f>
        <v>#VALUE!</v>
      </c>
      <c r="EE9" t="e">
        <f>AND('WJP Rule of Law Index 2012-2013'!AG43,"AAAAADc/r4Y=")</f>
        <v>#VALUE!</v>
      </c>
      <c r="EF9" t="e">
        <f>AND('WJP Rule of Law Index 2012-2013'!#REF!,"AAAAADc/r4c=")</f>
        <v>#REF!</v>
      </c>
      <c r="EG9" t="e">
        <f>AND('WJP Rule of Law Index 2012-2013'!#REF!,"AAAAADc/r4g=")</f>
        <v>#REF!</v>
      </c>
      <c r="EH9" t="e">
        <f>AND('WJP Rule of Law Index 2012-2013'!AH43,"AAAAADc/r4k=")</f>
        <v>#VALUE!</v>
      </c>
      <c r="EI9" t="e">
        <f>AND('WJP Rule of Law Index 2012-2013'!AI43,"AAAAADc/r4o=")</f>
        <v>#VALUE!</v>
      </c>
      <c r="EJ9" t="e">
        <f>AND('WJP Rule of Law Index 2012-2013'!AJ43,"AAAAADc/r4s=")</f>
        <v>#VALUE!</v>
      </c>
      <c r="EK9" t="e">
        <f>AND('WJP Rule of Law Index 2012-2013'!AK43,"AAAAADc/r4w=")</f>
        <v>#VALUE!</v>
      </c>
      <c r="EL9" t="e">
        <f>AND('WJP Rule of Law Index 2012-2013'!AL43,"AAAAADc/r40=")</f>
        <v>#VALUE!</v>
      </c>
      <c r="EM9" t="e">
        <f>AND('WJP Rule of Law Index 2012-2013'!AM43,"AAAAADc/r44=")</f>
        <v>#VALUE!</v>
      </c>
      <c r="EN9" t="e">
        <f>AND('WJP Rule of Law Index 2012-2013'!AN43,"AAAAADc/r48=")</f>
        <v>#VALUE!</v>
      </c>
      <c r="EO9" t="e">
        <f>AND('WJP Rule of Law Index 2012-2013'!AO43,"AAAAADc/r5A=")</f>
        <v>#VALUE!</v>
      </c>
      <c r="EP9" t="e">
        <f>AND('WJP Rule of Law Index 2012-2013'!AP43,"AAAAADc/r5E=")</f>
        <v>#VALUE!</v>
      </c>
      <c r="EQ9" t="e">
        <f>AND('WJP Rule of Law Index 2012-2013'!AQ43,"AAAAADc/r5I=")</f>
        <v>#VALUE!</v>
      </c>
      <c r="ER9" t="e">
        <f>AND('WJP Rule of Law Index 2012-2013'!AR43,"AAAAADc/r5M=")</f>
        <v>#VALUE!</v>
      </c>
      <c r="ES9" t="e">
        <f>AND('WJP Rule of Law Index 2012-2013'!AS43,"AAAAADc/r5Q=")</f>
        <v>#VALUE!</v>
      </c>
      <c r="ET9" t="e">
        <f>AND('WJP Rule of Law Index 2012-2013'!AT43,"AAAAADc/r5U=")</f>
        <v>#VALUE!</v>
      </c>
      <c r="EU9">
        <f>IF('WJP Rule of Law Index 2012-2013'!44:44,"AAAAADc/r5Y=",0)</f>
        <v>0</v>
      </c>
      <c r="EV9" t="e">
        <f>AND('WJP Rule of Law Index 2012-2013'!A44,"AAAAADc/r5c=")</f>
        <v>#VALUE!</v>
      </c>
      <c r="EW9" t="e">
        <f>AND('WJP Rule of Law Index 2012-2013'!B44,"AAAAADc/r5g=")</f>
        <v>#VALUE!</v>
      </c>
      <c r="EX9" t="e">
        <f>AND('WJP Rule of Law Index 2012-2013'!#REF!,"AAAAADc/r5k=")</f>
        <v>#REF!</v>
      </c>
      <c r="EY9" t="e">
        <f>AND('WJP Rule of Law Index 2012-2013'!C44,"AAAAADc/r5o=")</f>
        <v>#VALUE!</v>
      </c>
      <c r="EZ9" t="e">
        <f>AND('WJP Rule of Law Index 2012-2013'!#REF!,"AAAAADc/r5s=")</f>
        <v>#REF!</v>
      </c>
      <c r="FA9" t="e">
        <f>AND('WJP Rule of Law Index 2012-2013'!D44,"AAAAADc/r5w=")</f>
        <v>#VALUE!</v>
      </c>
      <c r="FB9" t="e">
        <f>AND('WJP Rule of Law Index 2012-2013'!E44,"AAAAADc/r50=")</f>
        <v>#VALUE!</v>
      </c>
      <c r="FC9" t="e">
        <f>AND('WJP Rule of Law Index 2012-2013'!F44,"AAAAADc/r54=")</f>
        <v>#VALUE!</v>
      </c>
      <c r="FD9" t="e">
        <f>AND('WJP Rule of Law Index 2012-2013'!G44,"AAAAADc/r58=")</f>
        <v>#VALUE!</v>
      </c>
      <c r="FE9" t="e">
        <f>AND('WJP Rule of Law Index 2012-2013'!H44,"AAAAADc/r6A=")</f>
        <v>#VALUE!</v>
      </c>
      <c r="FF9" t="e">
        <f>AND('WJP Rule of Law Index 2012-2013'!I44,"AAAAADc/r6E=")</f>
        <v>#VALUE!</v>
      </c>
      <c r="FG9" t="e">
        <f>AND('WJP Rule of Law Index 2012-2013'!J44,"AAAAADc/r6I=")</f>
        <v>#VALUE!</v>
      </c>
      <c r="FH9" t="e">
        <f>AND('WJP Rule of Law Index 2012-2013'!K44,"AAAAADc/r6M=")</f>
        <v>#VALUE!</v>
      </c>
      <c r="FI9" t="e">
        <f>AND('WJP Rule of Law Index 2012-2013'!#REF!,"AAAAADc/r6Q=")</f>
        <v>#REF!</v>
      </c>
      <c r="FJ9" t="e">
        <f>AND('WJP Rule of Law Index 2012-2013'!#REF!,"AAAAADc/r6U=")</f>
        <v>#REF!</v>
      </c>
      <c r="FK9" t="e">
        <f>AND('WJP Rule of Law Index 2012-2013'!#REF!,"AAAAADc/r6Y=")</f>
        <v>#REF!</v>
      </c>
      <c r="FL9" t="e">
        <f>AND('WJP Rule of Law Index 2012-2013'!P44,"AAAAADc/r6c=")</f>
        <v>#VALUE!</v>
      </c>
      <c r="FM9" t="e">
        <f>AND('WJP Rule of Law Index 2012-2013'!Q44,"AAAAADc/r6g=")</f>
        <v>#VALUE!</v>
      </c>
      <c r="FN9" t="e">
        <f>AND('WJP Rule of Law Index 2012-2013'!R44,"AAAAADc/r6k=")</f>
        <v>#VALUE!</v>
      </c>
      <c r="FO9" t="e">
        <f>AND('WJP Rule of Law Index 2012-2013'!S44,"AAAAADc/r6o=")</f>
        <v>#VALUE!</v>
      </c>
      <c r="FP9" t="e">
        <f>AND('WJP Rule of Law Index 2012-2013'!T44,"AAAAADc/r6s=")</f>
        <v>#VALUE!</v>
      </c>
      <c r="FQ9" t="e">
        <f>AND('WJP Rule of Law Index 2012-2013'!U44,"AAAAADc/r6w=")</f>
        <v>#VALUE!</v>
      </c>
      <c r="FR9" t="e">
        <f>AND('WJP Rule of Law Index 2012-2013'!V44,"AAAAADc/r60=")</f>
        <v>#VALUE!</v>
      </c>
      <c r="FS9" t="e">
        <f>AND('WJP Rule of Law Index 2012-2013'!W44,"AAAAADc/r64=")</f>
        <v>#VALUE!</v>
      </c>
      <c r="FT9" t="e">
        <f>AND('WJP Rule of Law Index 2012-2013'!X44,"AAAAADc/r68=")</f>
        <v>#VALUE!</v>
      </c>
      <c r="FU9" t="e">
        <f>AND('WJP Rule of Law Index 2012-2013'!Y44,"AAAAADc/r7A=")</f>
        <v>#VALUE!</v>
      </c>
      <c r="FV9" t="e">
        <f>AND('WJP Rule of Law Index 2012-2013'!Z44,"AAAAADc/r7E=")</f>
        <v>#VALUE!</v>
      </c>
      <c r="FW9" t="e">
        <f>AND('WJP Rule of Law Index 2012-2013'!AA44,"AAAAADc/r7I=")</f>
        <v>#VALUE!</v>
      </c>
      <c r="FX9" t="e">
        <f>AND('WJP Rule of Law Index 2012-2013'!AB44,"AAAAADc/r7M=")</f>
        <v>#VALUE!</v>
      </c>
      <c r="FY9" t="e">
        <f>AND('WJP Rule of Law Index 2012-2013'!AC44,"AAAAADc/r7Q=")</f>
        <v>#VALUE!</v>
      </c>
      <c r="FZ9" t="e">
        <f>AND('WJP Rule of Law Index 2012-2013'!AD44,"AAAAADc/r7U=")</f>
        <v>#VALUE!</v>
      </c>
      <c r="GA9" t="e">
        <f>AND('WJP Rule of Law Index 2012-2013'!AE44,"AAAAADc/r7Y=")</f>
        <v>#VALUE!</v>
      </c>
      <c r="GB9" t="e">
        <f>AND('WJP Rule of Law Index 2012-2013'!AF44,"AAAAADc/r7c=")</f>
        <v>#VALUE!</v>
      </c>
      <c r="GC9" t="e">
        <f>AND('WJP Rule of Law Index 2012-2013'!AG44,"AAAAADc/r7g=")</f>
        <v>#VALUE!</v>
      </c>
      <c r="GD9" t="e">
        <f>AND('WJP Rule of Law Index 2012-2013'!#REF!,"AAAAADc/r7k=")</f>
        <v>#REF!</v>
      </c>
      <c r="GE9" t="e">
        <f>AND('WJP Rule of Law Index 2012-2013'!#REF!,"AAAAADc/r7o=")</f>
        <v>#REF!</v>
      </c>
      <c r="GF9" t="e">
        <f>AND('WJP Rule of Law Index 2012-2013'!AH44,"AAAAADc/r7s=")</f>
        <v>#VALUE!</v>
      </c>
      <c r="GG9" t="e">
        <f>AND('WJP Rule of Law Index 2012-2013'!AI44,"AAAAADc/r7w=")</f>
        <v>#VALUE!</v>
      </c>
      <c r="GH9" t="e">
        <f>AND('WJP Rule of Law Index 2012-2013'!AJ44,"AAAAADc/r70=")</f>
        <v>#VALUE!</v>
      </c>
      <c r="GI9" t="e">
        <f>AND('WJP Rule of Law Index 2012-2013'!AK44,"AAAAADc/r74=")</f>
        <v>#VALUE!</v>
      </c>
      <c r="GJ9" t="e">
        <f>AND('WJP Rule of Law Index 2012-2013'!AL44,"AAAAADc/r78=")</f>
        <v>#VALUE!</v>
      </c>
      <c r="GK9" t="e">
        <f>AND('WJP Rule of Law Index 2012-2013'!AM44,"AAAAADc/r8A=")</f>
        <v>#VALUE!</v>
      </c>
      <c r="GL9" t="e">
        <f>AND('WJP Rule of Law Index 2012-2013'!AN44,"AAAAADc/r8E=")</f>
        <v>#VALUE!</v>
      </c>
      <c r="GM9" t="e">
        <f>AND('WJP Rule of Law Index 2012-2013'!AO44,"AAAAADc/r8I=")</f>
        <v>#VALUE!</v>
      </c>
      <c r="GN9" t="e">
        <f>AND('WJP Rule of Law Index 2012-2013'!AP44,"AAAAADc/r8M=")</f>
        <v>#VALUE!</v>
      </c>
      <c r="GO9" t="e">
        <f>AND('WJP Rule of Law Index 2012-2013'!AQ44,"AAAAADc/r8Q=")</f>
        <v>#VALUE!</v>
      </c>
      <c r="GP9" t="e">
        <f>AND('WJP Rule of Law Index 2012-2013'!AR44,"AAAAADc/r8U=")</f>
        <v>#VALUE!</v>
      </c>
      <c r="GQ9" t="e">
        <f>AND('WJP Rule of Law Index 2012-2013'!AS44,"AAAAADc/r8Y=")</f>
        <v>#VALUE!</v>
      </c>
      <c r="GR9" t="e">
        <f>AND('WJP Rule of Law Index 2012-2013'!AT44,"AAAAADc/r8c=")</f>
        <v>#VALUE!</v>
      </c>
      <c r="GS9">
        <f>IF('WJP Rule of Law Index 2012-2013'!45:45,"AAAAADc/r8g=",0)</f>
        <v>0</v>
      </c>
      <c r="GT9" t="e">
        <f>AND('WJP Rule of Law Index 2012-2013'!A45,"AAAAADc/r8k=")</f>
        <v>#VALUE!</v>
      </c>
      <c r="GU9" t="e">
        <f>AND('WJP Rule of Law Index 2012-2013'!B45,"AAAAADc/r8o=")</f>
        <v>#VALUE!</v>
      </c>
      <c r="GV9" t="e">
        <f>AND('WJP Rule of Law Index 2012-2013'!#REF!,"AAAAADc/r8s=")</f>
        <v>#REF!</v>
      </c>
      <c r="GW9" t="e">
        <f>AND('WJP Rule of Law Index 2012-2013'!C45,"AAAAADc/r8w=")</f>
        <v>#VALUE!</v>
      </c>
      <c r="GX9" t="e">
        <f>AND('WJP Rule of Law Index 2012-2013'!#REF!,"AAAAADc/r80=")</f>
        <v>#REF!</v>
      </c>
      <c r="GY9" t="e">
        <f>AND('WJP Rule of Law Index 2012-2013'!D45,"AAAAADc/r84=")</f>
        <v>#VALUE!</v>
      </c>
      <c r="GZ9" t="e">
        <f>AND('WJP Rule of Law Index 2012-2013'!E45,"AAAAADc/r88=")</f>
        <v>#VALUE!</v>
      </c>
      <c r="HA9" t="e">
        <f>AND('WJP Rule of Law Index 2012-2013'!F45,"AAAAADc/r9A=")</f>
        <v>#VALUE!</v>
      </c>
      <c r="HB9" t="e">
        <f>AND('WJP Rule of Law Index 2012-2013'!G45,"AAAAADc/r9E=")</f>
        <v>#VALUE!</v>
      </c>
      <c r="HC9" t="e">
        <f>AND('WJP Rule of Law Index 2012-2013'!H45,"AAAAADc/r9I=")</f>
        <v>#VALUE!</v>
      </c>
      <c r="HD9" t="e">
        <f>AND('WJP Rule of Law Index 2012-2013'!I45,"AAAAADc/r9M=")</f>
        <v>#VALUE!</v>
      </c>
      <c r="HE9" t="e">
        <f>AND('WJP Rule of Law Index 2012-2013'!J45,"AAAAADc/r9Q=")</f>
        <v>#VALUE!</v>
      </c>
      <c r="HF9" t="e">
        <f>AND('WJP Rule of Law Index 2012-2013'!K45,"AAAAADc/r9U=")</f>
        <v>#VALUE!</v>
      </c>
      <c r="HG9" t="e">
        <f>AND('WJP Rule of Law Index 2012-2013'!#REF!,"AAAAADc/r9Y=")</f>
        <v>#REF!</v>
      </c>
      <c r="HH9" t="e">
        <f>AND('WJP Rule of Law Index 2012-2013'!#REF!,"AAAAADc/r9c=")</f>
        <v>#REF!</v>
      </c>
      <c r="HI9" t="e">
        <f>AND('WJP Rule of Law Index 2012-2013'!#REF!,"AAAAADc/r9g=")</f>
        <v>#REF!</v>
      </c>
      <c r="HJ9" t="e">
        <f>AND('WJP Rule of Law Index 2012-2013'!P45,"AAAAADc/r9k=")</f>
        <v>#VALUE!</v>
      </c>
      <c r="HK9" t="e">
        <f>AND('WJP Rule of Law Index 2012-2013'!Q45,"AAAAADc/r9o=")</f>
        <v>#VALUE!</v>
      </c>
      <c r="HL9" t="e">
        <f>AND('WJP Rule of Law Index 2012-2013'!R45,"AAAAADc/r9s=")</f>
        <v>#VALUE!</v>
      </c>
      <c r="HM9" t="e">
        <f>AND('WJP Rule of Law Index 2012-2013'!S45,"AAAAADc/r9w=")</f>
        <v>#VALUE!</v>
      </c>
      <c r="HN9" t="e">
        <f>AND('WJP Rule of Law Index 2012-2013'!T45,"AAAAADc/r90=")</f>
        <v>#VALUE!</v>
      </c>
      <c r="HO9" t="e">
        <f>AND('WJP Rule of Law Index 2012-2013'!U45,"AAAAADc/r94=")</f>
        <v>#VALUE!</v>
      </c>
      <c r="HP9" t="e">
        <f>AND('WJP Rule of Law Index 2012-2013'!V45,"AAAAADc/r98=")</f>
        <v>#VALUE!</v>
      </c>
      <c r="HQ9" t="e">
        <f>AND('WJP Rule of Law Index 2012-2013'!W45,"AAAAADc/r+A=")</f>
        <v>#VALUE!</v>
      </c>
      <c r="HR9" t="e">
        <f>AND('WJP Rule of Law Index 2012-2013'!X45,"AAAAADc/r+E=")</f>
        <v>#VALUE!</v>
      </c>
      <c r="HS9" t="e">
        <f>AND('WJP Rule of Law Index 2012-2013'!Y45,"AAAAADc/r+I=")</f>
        <v>#VALUE!</v>
      </c>
      <c r="HT9" t="e">
        <f>AND('WJP Rule of Law Index 2012-2013'!Z45,"AAAAADc/r+M=")</f>
        <v>#VALUE!</v>
      </c>
      <c r="HU9" t="e">
        <f>AND('WJP Rule of Law Index 2012-2013'!AA45,"AAAAADc/r+Q=")</f>
        <v>#VALUE!</v>
      </c>
      <c r="HV9" t="e">
        <f>AND('WJP Rule of Law Index 2012-2013'!AB45,"AAAAADc/r+U=")</f>
        <v>#VALUE!</v>
      </c>
      <c r="HW9" t="e">
        <f>AND('WJP Rule of Law Index 2012-2013'!AC45,"AAAAADc/r+Y=")</f>
        <v>#VALUE!</v>
      </c>
      <c r="HX9" t="e">
        <f>AND('WJP Rule of Law Index 2012-2013'!AD45,"AAAAADc/r+c=")</f>
        <v>#VALUE!</v>
      </c>
      <c r="HY9" t="e">
        <f>AND('WJP Rule of Law Index 2012-2013'!AE45,"AAAAADc/r+g=")</f>
        <v>#VALUE!</v>
      </c>
      <c r="HZ9" t="e">
        <f>AND('WJP Rule of Law Index 2012-2013'!AF45,"AAAAADc/r+k=")</f>
        <v>#VALUE!</v>
      </c>
      <c r="IA9" t="e">
        <f>AND('WJP Rule of Law Index 2012-2013'!AG45,"AAAAADc/r+o=")</f>
        <v>#VALUE!</v>
      </c>
      <c r="IB9" t="e">
        <f>AND('WJP Rule of Law Index 2012-2013'!#REF!,"AAAAADc/r+s=")</f>
        <v>#REF!</v>
      </c>
      <c r="IC9" t="e">
        <f>AND('WJP Rule of Law Index 2012-2013'!#REF!,"AAAAADc/r+w=")</f>
        <v>#REF!</v>
      </c>
      <c r="ID9" t="e">
        <f>AND('WJP Rule of Law Index 2012-2013'!AH45,"AAAAADc/r+0=")</f>
        <v>#VALUE!</v>
      </c>
      <c r="IE9" t="e">
        <f>AND('WJP Rule of Law Index 2012-2013'!AI45,"AAAAADc/r+4=")</f>
        <v>#VALUE!</v>
      </c>
      <c r="IF9" t="e">
        <f>AND('WJP Rule of Law Index 2012-2013'!AJ45,"AAAAADc/r+8=")</f>
        <v>#VALUE!</v>
      </c>
      <c r="IG9" t="e">
        <f>AND('WJP Rule of Law Index 2012-2013'!AK45,"AAAAADc/r/A=")</f>
        <v>#VALUE!</v>
      </c>
      <c r="IH9" t="e">
        <f>AND('WJP Rule of Law Index 2012-2013'!AL45,"AAAAADc/r/E=")</f>
        <v>#VALUE!</v>
      </c>
      <c r="II9" t="e">
        <f>AND('WJP Rule of Law Index 2012-2013'!AM45,"AAAAADc/r/I=")</f>
        <v>#VALUE!</v>
      </c>
      <c r="IJ9" t="e">
        <f>AND('WJP Rule of Law Index 2012-2013'!AN45,"AAAAADc/r/M=")</f>
        <v>#VALUE!</v>
      </c>
      <c r="IK9" t="e">
        <f>AND('WJP Rule of Law Index 2012-2013'!AO45,"AAAAADc/r/Q=")</f>
        <v>#VALUE!</v>
      </c>
      <c r="IL9" t="e">
        <f>AND('WJP Rule of Law Index 2012-2013'!AP45,"AAAAADc/r/U=")</f>
        <v>#VALUE!</v>
      </c>
      <c r="IM9" t="e">
        <f>AND('WJP Rule of Law Index 2012-2013'!AQ45,"AAAAADc/r/Y=")</f>
        <v>#VALUE!</v>
      </c>
      <c r="IN9" t="e">
        <f>AND('WJP Rule of Law Index 2012-2013'!AR45,"AAAAADc/r/c=")</f>
        <v>#VALUE!</v>
      </c>
      <c r="IO9" t="e">
        <f>AND('WJP Rule of Law Index 2012-2013'!AS45,"AAAAADc/r/g=")</f>
        <v>#VALUE!</v>
      </c>
      <c r="IP9" t="e">
        <f>AND('WJP Rule of Law Index 2012-2013'!AT45,"AAAAADc/r/k=")</f>
        <v>#VALUE!</v>
      </c>
      <c r="IQ9">
        <f>IF('WJP Rule of Law Index 2012-2013'!46:46,"AAAAADc/r/o=",0)</f>
        <v>0</v>
      </c>
      <c r="IR9" t="e">
        <f>AND('WJP Rule of Law Index 2012-2013'!A46,"AAAAADc/r/s=")</f>
        <v>#VALUE!</v>
      </c>
      <c r="IS9" t="e">
        <f>AND('WJP Rule of Law Index 2012-2013'!B46,"AAAAADc/r/w=")</f>
        <v>#VALUE!</v>
      </c>
      <c r="IT9" t="e">
        <f>AND('WJP Rule of Law Index 2012-2013'!#REF!,"AAAAADc/r/0=")</f>
        <v>#REF!</v>
      </c>
      <c r="IU9" t="e">
        <f>AND('WJP Rule of Law Index 2012-2013'!C46,"AAAAADc/r/4=")</f>
        <v>#VALUE!</v>
      </c>
      <c r="IV9" t="e">
        <f>AND('WJP Rule of Law Index 2012-2013'!#REF!,"AAAAADc/r/8=")</f>
        <v>#REF!</v>
      </c>
    </row>
    <row r="10" spans="1:256" ht="15">
      <c r="A10" t="e">
        <f>AND('WJP Rule of Law Index 2012-2013'!D46,"AAAAADKq/wA=")</f>
        <v>#VALUE!</v>
      </c>
      <c r="B10" t="e">
        <f>AND('WJP Rule of Law Index 2012-2013'!E46,"AAAAADKq/wE=")</f>
        <v>#VALUE!</v>
      </c>
      <c r="C10" t="e">
        <f>AND('WJP Rule of Law Index 2012-2013'!F46,"AAAAADKq/wI=")</f>
        <v>#VALUE!</v>
      </c>
      <c r="D10" t="e">
        <f>AND('WJP Rule of Law Index 2012-2013'!G46,"AAAAADKq/wM=")</f>
        <v>#VALUE!</v>
      </c>
      <c r="E10" t="e">
        <f>AND('WJP Rule of Law Index 2012-2013'!H46,"AAAAADKq/wQ=")</f>
        <v>#VALUE!</v>
      </c>
      <c r="F10" t="e">
        <f>AND('WJP Rule of Law Index 2012-2013'!I46,"AAAAADKq/wU=")</f>
        <v>#VALUE!</v>
      </c>
      <c r="G10" t="e">
        <f>AND('WJP Rule of Law Index 2012-2013'!J46,"AAAAADKq/wY=")</f>
        <v>#VALUE!</v>
      </c>
      <c r="H10" t="e">
        <f>AND('WJP Rule of Law Index 2012-2013'!K46,"AAAAADKq/wc=")</f>
        <v>#VALUE!</v>
      </c>
      <c r="I10" t="e">
        <f>AND('WJP Rule of Law Index 2012-2013'!#REF!,"AAAAADKq/wg=")</f>
        <v>#REF!</v>
      </c>
      <c r="J10" t="e">
        <f>AND('WJP Rule of Law Index 2012-2013'!#REF!,"AAAAADKq/wk=")</f>
        <v>#REF!</v>
      </c>
      <c r="K10" t="e">
        <f>AND('WJP Rule of Law Index 2012-2013'!#REF!,"AAAAADKq/wo=")</f>
        <v>#REF!</v>
      </c>
      <c r="L10" t="e">
        <f>AND('WJP Rule of Law Index 2012-2013'!P46,"AAAAADKq/ws=")</f>
        <v>#VALUE!</v>
      </c>
      <c r="M10" t="e">
        <f>AND('WJP Rule of Law Index 2012-2013'!Q46,"AAAAADKq/ww=")</f>
        <v>#VALUE!</v>
      </c>
      <c r="N10" t="e">
        <f>AND('WJP Rule of Law Index 2012-2013'!R46,"AAAAADKq/w0=")</f>
        <v>#VALUE!</v>
      </c>
      <c r="O10" t="e">
        <f>AND('WJP Rule of Law Index 2012-2013'!S46,"AAAAADKq/w4=")</f>
        <v>#VALUE!</v>
      </c>
      <c r="P10" t="e">
        <f>AND('WJP Rule of Law Index 2012-2013'!T46,"AAAAADKq/w8=")</f>
        <v>#VALUE!</v>
      </c>
      <c r="Q10" t="e">
        <f>AND('WJP Rule of Law Index 2012-2013'!U46,"AAAAADKq/xA=")</f>
        <v>#VALUE!</v>
      </c>
      <c r="R10" t="e">
        <f>AND('WJP Rule of Law Index 2012-2013'!V46,"AAAAADKq/xE=")</f>
        <v>#VALUE!</v>
      </c>
      <c r="S10" t="e">
        <f>AND('WJP Rule of Law Index 2012-2013'!W46,"AAAAADKq/xI=")</f>
        <v>#VALUE!</v>
      </c>
      <c r="T10" t="e">
        <f>AND('WJP Rule of Law Index 2012-2013'!X46,"AAAAADKq/xM=")</f>
        <v>#VALUE!</v>
      </c>
      <c r="U10" t="e">
        <f>AND('WJP Rule of Law Index 2012-2013'!Y46,"AAAAADKq/xQ=")</f>
        <v>#VALUE!</v>
      </c>
      <c r="V10" t="e">
        <f>AND('WJP Rule of Law Index 2012-2013'!Z46,"AAAAADKq/xU=")</f>
        <v>#VALUE!</v>
      </c>
      <c r="W10" t="e">
        <f>AND('WJP Rule of Law Index 2012-2013'!AA46,"AAAAADKq/xY=")</f>
        <v>#VALUE!</v>
      </c>
      <c r="X10" t="e">
        <f>AND('WJP Rule of Law Index 2012-2013'!AB46,"AAAAADKq/xc=")</f>
        <v>#VALUE!</v>
      </c>
      <c r="Y10" t="e">
        <f>AND('WJP Rule of Law Index 2012-2013'!AC46,"AAAAADKq/xg=")</f>
        <v>#VALUE!</v>
      </c>
      <c r="Z10" t="e">
        <f>AND('WJP Rule of Law Index 2012-2013'!AD46,"AAAAADKq/xk=")</f>
        <v>#VALUE!</v>
      </c>
      <c r="AA10" t="e">
        <f>AND('WJP Rule of Law Index 2012-2013'!AE46,"AAAAADKq/xo=")</f>
        <v>#VALUE!</v>
      </c>
      <c r="AB10" t="e">
        <f>AND('WJP Rule of Law Index 2012-2013'!AF46,"AAAAADKq/xs=")</f>
        <v>#VALUE!</v>
      </c>
      <c r="AC10" t="e">
        <f>AND('WJP Rule of Law Index 2012-2013'!AG46,"AAAAADKq/xw=")</f>
        <v>#VALUE!</v>
      </c>
      <c r="AD10" t="e">
        <f>AND('WJP Rule of Law Index 2012-2013'!#REF!,"AAAAADKq/x0=")</f>
        <v>#REF!</v>
      </c>
      <c r="AE10" t="e">
        <f>AND('WJP Rule of Law Index 2012-2013'!#REF!,"AAAAADKq/x4=")</f>
        <v>#REF!</v>
      </c>
      <c r="AF10" t="e">
        <f>AND('WJP Rule of Law Index 2012-2013'!AH46,"AAAAADKq/x8=")</f>
        <v>#VALUE!</v>
      </c>
      <c r="AG10" t="e">
        <f>AND('WJP Rule of Law Index 2012-2013'!AI46,"AAAAADKq/yA=")</f>
        <v>#VALUE!</v>
      </c>
      <c r="AH10" t="e">
        <f>AND('WJP Rule of Law Index 2012-2013'!AJ46,"AAAAADKq/yE=")</f>
        <v>#VALUE!</v>
      </c>
      <c r="AI10" t="e">
        <f>AND('WJP Rule of Law Index 2012-2013'!AK46,"AAAAADKq/yI=")</f>
        <v>#VALUE!</v>
      </c>
      <c r="AJ10" t="e">
        <f>AND('WJP Rule of Law Index 2012-2013'!AL46,"AAAAADKq/yM=")</f>
        <v>#VALUE!</v>
      </c>
      <c r="AK10" t="e">
        <f>AND('WJP Rule of Law Index 2012-2013'!AM46,"AAAAADKq/yQ=")</f>
        <v>#VALUE!</v>
      </c>
      <c r="AL10" t="e">
        <f>AND('WJP Rule of Law Index 2012-2013'!AN46,"AAAAADKq/yU=")</f>
        <v>#VALUE!</v>
      </c>
      <c r="AM10" t="e">
        <f>AND('WJP Rule of Law Index 2012-2013'!AO46,"AAAAADKq/yY=")</f>
        <v>#VALUE!</v>
      </c>
      <c r="AN10" t="e">
        <f>AND('WJP Rule of Law Index 2012-2013'!AP46,"AAAAADKq/yc=")</f>
        <v>#VALUE!</v>
      </c>
      <c r="AO10" t="e">
        <f>AND('WJP Rule of Law Index 2012-2013'!AQ46,"AAAAADKq/yg=")</f>
        <v>#VALUE!</v>
      </c>
      <c r="AP10" t="e">
        <f>AND('WJP Rule of Law Index 2012-2013'!AR46,"AAAAADKq/yk=")</f>
        <v>#VALUE!</v>
      </c>
      <c r="AQ10" t="e">
        <f>AND('WJP Rule of Law Index 2012-2013'!AS46,"AAAAADKq/yo=")</f>
        <v>#VALUE!</v>
      </c>
      <c r="AR10" t="e">
        <f>AND('WJP Rule of Law Index 2012-2013'!AT46,"AAAAADKq/ys=")</f>
        <v>#VALUE!</v>
      </c>
      <c r="AS10" t="str">
        <f>IF('WJP Rule of Law Index 2012-2013'!47:47,"AAAAADKq/yw=",0)</f>
        <v>AAAAADKq/yw=</v>
      </c>
      <c r="AT10" t="e">
        <f>AND('WJP Rule of Law Index 2012-2013'!A47,"AAAAADKq/y0=")</f>
        <v>#VALUE!</v>
      </c>
      <c r="AU10" t="e">
        <f>AND('WJP Rule of Law Index 2012-2013'!B47,"AAAAADKq/y4=")</f>
        <v>#VALUE!</v>
      </c>
      <c r="AV10" t="e">
        <f>AND('WJP Rule of Law Index 2012-2013'!#REF!,"AAAAADKq/y8=")</f>
        <v>#REF!</v>
      </c>
      <c r="AW10" t="e">
        <f>AND('WJP Rule of Law Index 2012-2013'!C47,"AAAAADKq/zA=")</f>
        <v>#VALUE!</v>
      </c>
      <c r="AX10" t="e">
        <f>AND('WJP Rule of Law Index 2012-2013'!#REF!,"AAAAADKq/zE=")</f>
        <v>#REF!</v>
      </c>
      <c r="AY10" t="e">
        <f>AND('WJP Rule of Law Index 2012-2013'!D47,"AAAAADKq/zI=")</f>
        <v>#VALUE!</v>
      </c>
      <c r="AZ10" t="e">
        <f>AND('WJP Rule of Law Index 2012-2013'!E47,"AAAAADKq/zM=")</f>
        <v>#VALUE!</v>
      </c>
      <c r="BA10" t="e">
        <f>AND('WJP Rule of Law Index 2012-2013'!F47,"AAAAADKq/zQ=")</f>
        <v>#VALUE!</v>
      </c>
      <c r="BB10" t="e">
        <f>AND('WJP Rule of Law Index 2012-2013'!G47,"AAAAADKq/zU=")</f>
        <v>#VALUE!</v>
      </c>
      <c r="BC10" t="e">
        <f>AND('WJP Rule of Law Index 2012-2013'!H47,"AAAAADKq/zY=")</f>
        <v>#VALUE!</v>
      </c>
      <c r="BD10" t="e">
        <f>AND('WJP Rule of Law Index 2012-2013'!I47,"AAAAADKq/zc=")</f>
        <v>#VALUE!</v>
      </c>
      <c r="BE10" t="e">
        <f>AND('WJP Rule of Law Index 2012-2013'!J47,"AAAAADKq/zg=")</f>
        <v>#VALUE!</v>
      </c>
      <c r="BF10" t="e">
        <f>AND('WJP Rule of Law Index 2012-2013'!K47,"AAAAADKq/zk=")</f>
        <v>#VALUE!</v>
      </c>
      <c r="BG10" t="e">
        <f>AND('WJP Rule of Law Index 2012-2013'!#REF!,"AAAAADKq/zo=")</f>
        <v>#REF!</v>
      </c>
      <c r="BH10" t="e">
        <f>AND('WJP Rule of Law Index 2012-2013'!#REF!,"AAAAADKq/zs=")</f>
        <v>#REF!</v>
      </c>
      <c r="BI10" t="e">
        <f>AND('WJP Rule of Law Index 2012-2013'!#REF!,"AAAAADKq/zw=")</f>
        <v>#REF!</v>
      </c>
      <c r="BJ10" t="e">
        <f>AND('WJP Rule of Law Index 2012-2013'!P47,"AAAAADKq/z0=")</f>
        <v>#VALUE!</v>
      </c>
      <c r="BK10" t="e">
        <f>AND('WJP Rule of Law Index 2012-2013'!Q47,"AAAAADKq/z4=")</f>
        <v>#VALUE!</v>
      </c>
      <c r="BL10" t="e">
        <f>AND('WJP Rule of Law Index 2012-2013'!R47,"AAAAADKq/z8=")</f>
        <v>#VALUE!</v>
      </c>
      <c r="BM10" t="e">
        <f>AND('WJP Rule of Law Index 2012-2013'!S47,"AAAAADKq/0A=")</f>
        <v>#VALUE!</v>
      </c>
      <c r="BN10" t="e">
        <f>AND('WJP Rule of Law Index 2012-2013'!T47,"AAAAADKq/0E=")</f>
        <v>#VALUE!</v>
      </c>
      <c r="BO10" t="e">
        <f>AND('WJP Rule of Law Index 2012-2013'!U47,"AAAAADKq/0I=")</f>
        <v>#VALUE!</v>
      </c>
      <c r="BP10" t="e">
        <f>AND('WJP Rule of Law Index 2012-2013'!V47,"AAAAADKq/0M=")</f>
        <v>#VALUE!</v>
      </c>
      <c r="BQ10" t="e">
        <f>AND('WJP Rule of Law Index 2012-2013'!W47,"AAAAADKq/0Q=")</f>
        <v>#VALUE!</v>
      </c>
      <c r="BR10" t="e">
        <f>AND('WJP Rule of Law Index 2012-2013'!X47,"AAAAADKq/0U=")</f>
        <v>#VALUE!</v>
      </c>
      <c r="BS10" t="e">
        <f>AND('WJP Rule of Law Index 2012-2013'!Y47,"AAAAADKq/0Y=")</f>
        <v>#VALUE!</v>
      </c>
      <c r="BT10" t="e">
        <f>AND('WJP Rule of Law Index 2012-2013'!Z47,"AAAAADKq/0c=")</f>
        <v>#VALUE!</v>
      </c>
      <c r="BU10" t="e">
        <f>AND('WJP Rule of Law Index 2012-2013'!AA47,"AAAAADKq/0g=")</f>
        <v>#VALUE!</v>
      </c>
      <c r="BV10" t="e">
        <f>AND('WJP Rule of Law Index 2012-2013'!AB47,"AAAAADKq/0k=")</f>
        <v>#VALUE!</v>
      </c>
      <c r="BW10" t="e">
        <f>AND('WJP Rule of Law Index 2012-2013'!AC47,"AAAAADKq/0o=")</f>
        <v>#VALUE!</v>
      </c>
      <c r="BX10" t="e">
        <f>AND('WJP Rule of Law Index 2012-2013'!AD47,"AAAAADKq/0s=")</f>
        <v>#VALUE!</v>
      </c>
      <c r="BY10" t="e">
        <f>AND('WJP Rule of Law Index 2012-2013'!AE47,"AAAAADKq/0w=")</f>
        <v>#VALUE!</v>
      </c>
      <c r="BZ10" t="e">
        <f>AND('WJP Rule of Law Index 2012-2013'!AF47,"AAAAADKq/00=")</f>
        <v>#VALUE!</v>
      </c>
      <c r="CA10" t="e">
        <f>AND('WJP Rule of Law Index 2012-2013'!AG47,"AAAAADKq/04=")</f>
        <v>#VALUE!</v>
      </c>
      <c r="CB10" t="e">
        <f>AND('WJP Rule of Law Index 2012-2013'!#REF!,"AAAAADKq/08=")</f>
        <v>#REF!</v>
      </c>
      <c r="CC10" t="e">
        <f>AND('WJP Rule of Law Index 2012-2013'!#REF!,"AAAAADKq/1A=")</f>
        <v>#REF!</v>
      </c>
      <c r="CD10" t="e">
        <f>AND('WJP Rule of Law Index 2012-2013'!AH47,"AAAAADKq/1E=")</f>
        <v>#VALUE!</v>
      </c>
      <c r="CE10" t="e">
        <f>AND('WJP Rule of Law Index 2012-2013'!AI47,"AAAAADKq/1I=")</f>
        <v>#VALUE!</v>
      </c>
      <c r="CF10" t="e">
        <f>AND('WJP Rule of Law Index 2012-2013'!AJ47,"AAAAADKq/1M=")</f>
        <v>#VALUE!</v>
      </c>
      <c r="CG10" t="e">
        <f>AND('WJP Rule of Law Index 2012-2013'!AK47,"AAAAADKq/1Q=")</f>
        <v>#VALUE!</v>
      </c>
      <c r="CH10" t="e">
        <f>AND('WJP Rule of Law Index 2012-2013'!AL47,"AAAAADKq/1U=")</f>
        <v>#VALUE!</v>
      </c>
      <c r="CI10" t="e">
        <f>AND('WJP Rule of Law Index 2012-2013'!AM47,"AAAAADKq/1Y=")</f>
        <v>#VALUE!</v>
      </c>
      <c r="CJ10" t="e">
        <f>AND('WJP Rule of Law Index 2012-2013'!AN47,"AAAAADKq/1c=")</f>
        <v>#VALUE!</v>
      </c>
      <c r="CK10" t="e">
        <f>AND('WJP Rule of Law Index 2012-2013'!AO47,"AAAAADKq/1g=")</f>
        <v>#VALUE!</v>
      </c>
      <c r="CL10" t="e">
        <f>AND('WJP Rule of Law Index 2012-2013'!AP47,"AAAAADKq/1k=")</f>
        <v>#VALUE!</v>
      </c>
      <c r="CM10" t="e">
        <f>AND('WJP Rule of Law Index 2012-2013'!AQ47,"AAAAADKq/1o=")</f>
        <v>#VALUE!</v>
      </c>
      <c r="CN10" t="e">
        <f>AND('WJP Rule of Law Index 2012-2013'!AR47,"AAAAADKq/1s=")</f>
        <v>#VALUE!</v>
      </c>
      <c r="CO10" t="e">
        <f>AND('WJP Rule of Law Index 2012-2013'!AS47,"AAAAADKq/1w=")</f>
        <v>#VALUE!</v>
      </c>
      <c r="CP10" t="e">
        <f>AND('WJP Rule of Law Index 2012-2013'!AT47,"AAAAADKq/10=")</f>
        <v>#VALUE!</v>
      </c>
      <c r="CQ10">
        <f>IF('WJP Rule of Law Index 2012-2013'!48:48,"AAAAADKq/14=",0)</f>
        <v>0</v>
      </c>
      <c r="CR10" t="e">
        <f>AND('WJP Rule of Law Index 2012-2013'!A48,"AAAAADKq/18=")</f>
        <v>#VALUE!</v>
      </c>
      <c r="CS10" t="e">
        <f>AND('WJP Rule of Law Index 2012-2013'!B48,"AAAAADKq/2A=")</f>
        <v>#VALUE!</v>
      </c>
      <c r="CT10" t="e">
        <f>AND('WJP Rule of Law Index 2012-2013'!#REF!,"AAAAADKq/2E=")</f>
        <v>#REF!</v>
      </c>
      <c r="CU10" t="e">
        <f>AND('WJP Rule of Law Index 2012-2013'!C48,"AAAAADKq/2I=")</f>
        <v>#VALUE!</v>
      </c>
      <c r="CV10" t="e">
        <f>AND('WJP Rule of Law Index 2012-2013'!#REF!,"AAAAADKq/2M=")</f>
        <v>#REF!</v>
      </c>
      <c r="CW10" t="e">
        <f>AND('WJP Rule of Law Index 2012-2013'!D48,"AAAAADKq/2Q=")</f>
        <v>#VALUE!</v>
      </c>
      <c r="CX10" t="e">
        <f>AND('WJP Rule of Law Index 2012-2013'!E48,"AAAAADKq/2U=")</f>
        <v>#VALUE!</v>
      </c>
      <c r="CY10" t="e">
        <f>AND('WJP Rule of Law Index 2012-2013'!F48,"AAAAADKq/2Y=")</f>
        <v>#VALUE!</v>
      </c>
      <c r="CZ10" t="e">
        <f>AND('WJP Rule of Law Index 2012-2013'!G48,"AAAAADKq/2c=")</f>
        <v>#VALUE!</v>
      </c>
      <c r="DA10" t="e">
        <f>AND('WJP Rule of Law Index 2012-2013'!H48,"AAAAADKq/2g=")</f>
        <v>#VALUE!</v>
      </c>
      <c r="DB10" t="e">
        <f>AND('WJP Rule of Law Index 2012-2013'!I48,"AAAAADKq/2k=")</f>
        <v>#VALUE!</v>
      </c>
      <c r="DC10" t="e">
        <f>AND('WJP Rule of Law Index 2012-2013'!J48,"AAAAADKq/2o=")</f>
        <v>#VALUE!</v>
      </c>
      <c r="DD10" t="e">
        <f>AND('WJP Rule of Law Index 2012-2013'!K48,"AAAAADKq/2s=")</f>
        <v>#VALUE!</v>
      </c>
      <c r="DE10" t="e">
        <f>AND('WJP Rule of Law Index 2012-2013'!#REF!,"AAAAADKq/2w=")</f>
        <v>#REF!</v>
      </c>
      <c r="DF10" t="e">
        <f>AND('WJP Rule of Law Index 2012-2013'!#REF!,"AAAAADKq/20=")</f>
        <v>#REF!</v>
      </c>
      <c r="DG10" t="e">
        <f>AND('WJP Rule of Law Index 2012-2013'!#REF!,"AAAAADKq/24=")</f>
        <v>#REF!</v>
      </c>
      <c r="DH10" t="e">
        <f>AND('WJP Rule of Law Index 2012-2013'!P48,"AAAAADKq/28=")</f>
        <v>#VALUE!</v>
      </c>
      <c r="DI10" t="e">
        <f>AND('WJP Rule of Law Index 2012-2013'!Q48,"AAAAADKq/3A=")</f>
        <v>#VALUE!</v>
      </c>
      <c r="DJ10" t="e">
        <f>AND('WJP Rule of Law Index 2012-2013'!R48,"AAAAADKq/3E=")</f>
        <v>#VALUE!</v>
      </c>
      <c r="DK10" t="e">
        <f>AND('WJP Rule of Law Index 2012-2013'!S48,"AAAAADKq/3I=")</f>
        <v>#VALUE!</v>
      </c>
      <c r="DL10" t="e">
        <f>AND('WJP Rule of Law Index 2012-2013'!T48,"AAAAADKq/3M=")</f>
        <v>#VALUE!</v>
      </c>
      <c r="DM10" t="e">
        <f>AND('WJP Rule of Law Index 2012-2013'!U48,"AAAAADKq/3Q=")</f>
        <v>#VALUE!</v>
      </c>
      <c r="DN10" t="e">
        <f>AND('WJP Rule of Law Index 2012-2013'!V48,"AAAAADKq/3U=")</f>
        <v>#VALUE!</v>
      </c>
      <c r="DO10" t="e">
        <f>AND('WJP Rule of Law Index 2012-2013'!W48,"AAAAADKq/3Y=")</f>
        <v>#VALUE!</v>
      </c>
      <c r="DP10" t="e">
        <f>AND('WJP Rule of Law Index 2012-2013'!X48,"AAAAADKq/3c=")</f>
        <v>#VALUE!</v>
      </c>
      <c r="DQ10" t="e">
        <f>AND('WJP Rule of Law Index 2012-2013'!Y48,"AAAAADKq/3g=")</f>
        <v>#VALUE!</v>
      </c>
      <c r="DR10" t="e">
        <f>AND('WJP Rule of Law Index 2012-2013'!Z48,"AAAAADKq/3k=")</f>
        <v>#VALUE!</v>
      </c>
      <c r="DS10" t="e">
        <f>AND('WJP Rule of Law Index 2012-2013'!AA48,"AAAAADKq/3o=")</f>
        <v>#VALUE!</v>
      </c>
      <c r="DT10" t="e">
        <f>AND('WJP Rule of Law Index 2012-2013'!AB48,"AAAAADKq/3s=")</f>
        <v>#VALUE!</v>
      </c>
      <c r="DU10" t="e">
        <f>AND('WJP Rule of Law Index 2012-2013'!AC48,"AAAAADKq/3w=")</f>
        <v>#VALUE!</v>
      </c>
      <c r="DV10" t="e">
        <f>AND('WJP Rule of Law Index 2012-2013'!AD48,"AAAAADKq/30=")</f>
        <v>#VALUE!</v>
      </c>
      <c r="DW10" t="e">
        <f>AND('WJP Rule of Law Index 2012-2013'!AE48,"AAAAADKq/34=")</f>
        <v>#VALUE!</v>
      </c>
      <c r="DX10" t="e">
        <f>AND('WJP Rule of Law Index 2012-2013'!AF48,"AAAAADKq/38=")</f>
        <v>#VALUE!</v>
      </c>
      <c r="DY10" t="e">
        <f>AND('WJP Rule of Law Index 2012-2013'!AG48,"AAAAADKq/4A=")</f>
        <v>#VALUE!</v>
      </c>
      <c r="DZ10" t="e">
        <f>AND('WJP Rule of Law Index 2012-2013'!#REF!,"AAAAADKq/4E=")</f>
        <v>#REF!</v>
      </c>
      <c r="EA10" t="e">
        <f>AND('WJP Rule of Law Index 2012-2013'!#REF!,"AAAAADKq/4I=")</f>
        <v>#REF!</v>
      </c>
      <c r="EB10" t="e">
        <f>AND('WJP Rule of Law Index 2012-2013'!AH48,"AAAAADKq/4M=")</f>
        <v>#VALUE!</v>
      </c>
      <c r="EC10" t="e">
        <f>AND('WJP Rule of Law Index 2012-2013'!AI48,"AAAAADKq/4Q=")</f>
        <v>#VALUE!</v>
      </c>
      <c r="ED10" t="e">
        <f>AND('WJP Rule of Law Index 2012-2013'!AJ48,"AAAAADKq/4U=")</f>
        <v>#VALUE!</v>
      </c>
      <c r="EE10" t="e">
        <f>AND('WJP Rule of Law Index 2012-2013'!AK48,"AAAAADKq/4Y=")</f>
        <v>#VALUE!</v>
      </c>
      <c r="EF10" t="e">
        <f>AND('WJP Rule of Law Index 2012-2013'!AL48,"AAAAADKq/4c=")</f>
        <v>#VALUE!</v>
      </c>
      <c r="EG10" t="e">
        <f>AND('WJP Rule of Law Index 2012-2013'!AM48,"AAAAADKq/4g=")</f>
        <v>#VALUE!</v>
      </c>
      <c r="EH10" t="e">
        <f>AND('WJP Rule of Law Index 2012-2013'!AN48,"AAAAADKq/4k=")</f>
        <v>#VALUE!</v>
      </c>
      <c r="EI10" t="e">
        <f>AND('WJP Rule of Law Index 2012-2013'!AO48,"AAAAADKq/4o=")</f>
        <v>#VALUE!</v>
      </c>
      <c r="EJ10" t="e">
        <f>AND('WJP Rule of Law Index 2012-2013'!AP48,"AAAAADKq/4s=")</f>
        <v>#VALUE!</v>
      </c>
      <c r="EK10" t="e">
        <f>AND('WJP Rule of Law Index 2012-2013'!AQ48,"AAAAADKq/4w=")</f>
        <v>#VALUE!</v>
      </c>
      <c r="EL10" t="e">
        <f>AND('WJP Rule of Law Index 2012-2013'!AR48,"AAAAADKq/40=")</f>
        <v>#VALUE!</v>
      </c>
      <c r="EM10" t="e">
        <f>AND('WJP Rule of Law Index 2012-2013'!AS48,"AAAAADKq/44=")</f>
        <v>#VALUE!</v>
      </c>
      <c r="EN10" t="e">
        <f>AND('WJP Rule of Law Index 2012-2013'!AT48,"AAAAADKq/48=")</f>
        <v>#VALUE!</v>
      </c>
      <c r="EO10">
        <f>IF('WJP Rule of Law Index 2012-2013'!49:49,"AAAAADKq/5A=",0)</f>
        <v>0</v>
      </c>
      <c r="EP10" t="e">
        <f>AND('WJP Rule of Law Index 2012-2013'!A49,"AAAAADKq/5E=")</f>
        <v>#VALUE!</v>
      </c>
      <c r="EQ10" t="e">
        <f>AND('WJP Rule of Law Index 2012-2013'!B49,"AAAAADKq/5I=")</f>
        <v>#VALUE!</v>
      </c>
      <c r="ER10" t="e">
        <f>AND('WJP Rule of Law Index 2012-2013'!#REF!,"AAAAADKq/5M=")</f>
        <v>#REF!</v>
      </c>
      <c r="ES10" t="e">
        <f>AND('WJP Rule of Law Index 2012-2013'!C49,"AAAAADKq/5Q=")</f>
        <v>#VALUE!</v>
      </c>
      <c r="ET10" t="e">
        <f>AND('WJP Rule of Law Index 2012-2013'!#REF!,"AAAAADKq/5U=")</f>
        <v>#REF!</v>
      </c>
      <c r="EU10" t="e">
        <f>AND('WJP Rule of Law Index 2012-2013'!D49,"AAAAADKq/5Y=")</f>
        <v>#VALUE!</v>
      </c>
      <c r="EV10" t="e">
        <f>AND('WJP Rule of Law Index 2012-2013'!E49,"AAAAADKq/5c=")</f>
        <v>#VALUE!</v>
      </c>
      <c r="EW10" t="e">
        <f>AND('WJP Rule of Law Index 2012-2013'!F49,"AAAAADKq/5g=")</f>
        <v>#VALUE!</v>
      </c>
      <c r="EX10" t="e">
        <f>AND('WJP Rule of Law Index 2012-2013'!G49,"AAAAADKq/5k=")</f>
        <v>#VALUE!</v>
      </c>
      <c r="EY10" t="e">
        <f>AND('WJP Rule of Law Index 2012-2013'!H49,"AAAAADKq/5o=")</f>
        <v>#VALUE!</v>
      </c>
      <c r="EZ10" t="e">
        <f>AND('WJP Rule of Law Index 2012-2013'!I49,"AAAAADKq/5s=")</f>
        <v>#VALUE!</v>
      </c>
      <c r="FA10" t="e">
        <f>AND('WJP Rule of Law Index 2012-2013'!J49,"AAAAADKq/5w=")</f>
        <v>#VALUE!</v>
      </c>
      <c r="FB10" t="e">
        <f>AND('WJP Rule of Law Index 2012-2013'!K49,"AAAAADKq/50=")</f>
        <v>#VALUE!</v>
      </c>
      <c r="FC10" t="e">
        <f>AND('WJP Rule of Law Index 2012-2013'!#REF!,"AAAAADKq/54=")</f>
        <v>#REF!</v>
      </c>
      <c r="FD10" t="e">
        <f>AND('WJP Rule of Law Index 2012-2013'!#REF!,"AAAAADKq/58=")</f>
        <v>#REF!</v>
      </c>
      <c r="FE10" t="e">
        <f>AND('WJP Rule of Law Index 2012-2013'!#REF!,"AAAAADKq/6A=")</f>
        <v>#REF!</v>
      </c>
      <c r="FF10" t="e">
        <f>AND('WJP Rule of Law Index 2012-2013'!P49,"AAAAADKq/6E=")</f>
        <v>#VALUE!</v>
      </c>
      <c r="FG10" t="e">
        <f>AND('WJP Rule of Law Index 2012-2013'!Q49,"AAAAADKq/6I=")</f>
        <v>#VALUE!</v>
      </c>
      <c r="FH10" t="e">
        <f>AND('WJP Rule of Law Index 2012-2013'!R49,"AAAAADKq/6M=")</f>
        <v>#VALUE!</v>
      </c>
      <c r="FI10" t="e">
        <f>AND('WJP Rule of Law Index 2012-2013'!S49,"AAAAADKq/6Q=")</f>
        <v>#VALUE!</v>
      </c>
      <c r="FJ10" t="e">
        <f>AND('WJP Rule of Law Index 2012-2013'!T49,"AAAAADKq/6U=")</f>
        <v>#VALUE!</v>
      </c>
      <c r="FK10" t="e">
        <f>AND('WJP Rule of Law Index 2012-2013'!U49,"AAAAADKq/6Y=")</f>
        <v>#VALUE!</v>
      </c>
      <c r="FL10" t="e">
        <f>AND('WJP Rule of Law Index 2012-2013'!V49,"AAAAADKq/6c=")</f>
        <v>#VALUE!</v>
      </c>
      <c r="FM10" t="e">
        <f>AND('WJP Rule of Law Index 2012-2013'!W49,"AAAAADKq/6g=")</f>
        <v>#VALUE!</v>
      </c>
      <c r="FN10" t="e">
        <f>AND('WJP Rule of Law Index 2012-2013'!X49,"AAAAADKq/6k=")</f>
        <v>#VALUE!</v>
      </c>
      <c r="FO10" t="e">
        <f>AND('WJP Rule of Law Index 2012-2013'!Y49,"AAAAADKq/6o=")</f>
        <v>#VALUE!</v>
      </c>
      <c r="FP10" t="e">
        <f>AND('WJP Rule of Law Index 2012-2013'!Z49,"AAAAADKq/6s=")</f>
        <v>#VALUE!</v>
      </c>
      <c r="FQ10" t="e">
        <f>AND('WJP Rule of Law Index 2012-2013'!AA49,"AAAAADKq/6w=")</f>
        <v>#VALUE!</v>
      </c>
      <c r="FR10" t="e">
        <f>AND('WJP Rule of Law Index 2012-2013'!AB49,"AAAAADKq/60=")</f>
        <v>#VALUE!</v>
      </c>
      <c r="FS10" t="e">
        <f>AND('WJP Rule of Law Index 2012-2013'!AC49,"AAAAADKq/64=")</f>
        <v>#VALUE!</v>
      </c>
      <c r="FT10" t="e">
        <f>AND('WJP Rule of Law Index 2012-2013'!AD49,"AAAAADKq/68=")</f>
        <v>#VALUE!</v>
      </c>
      <c r="FU10" t="e">
        <f>AND('WJP Rule of Law Index 2012-2013'!AE49,"AAAAADKq/7A=")</f>
        <v>#VALUE!</v>
      </c>
      <c r="FV10" t="e">
        <f>AND('WJP Rule of Law Index 2012-2013'!AF49,"AAAAADKq/7E=")</f>
        <v>#VALUE!</v>
      </c>
      <c r="FW10" t="e">
        <f>AND('WJP Rule of Law Index 2012-2013'!AG49,"AAAAADKq/7I=")</f>
        <v>#VALUE!</v>
      </c>
      <c r="FX10" t="e">
        <f>AND('WJP Rule of Law Index 2012-2013'!#REF!,"AAAAADKq/7M=")</f>
        <v>#REF!</v>
      </c>
      <c r="FY10" t="e">
        <f>AND('WJP Rule of Law Index 2012-2013'!#REF!,"AAAAADKq/7Q=")</f>
        <v>#REF!</v>
      </c>
      <c r="FZ10" t="e">
        <f>AND('WJP Rule of Law Index 2012-2013'!AH49,"AAAAADKq/7U=")</f>
        <v>#VALUE!</v>
      </c>
      <c r="GA10" t="e">
        <f>AND('WJP Rule of Law Index 2012-2013'!AI49,"AAAAADKq/7Y=")</f>
        <v>#VALUE!</v>
      </c>
      <c r="GB10" t="e">
        <f>AND('WJP Rule of Law Index 2012-2013'!AJ49,"AAAAADKq/7c=")</f>
        <v>#VALUE!</v>
      </c>
      <c r="GC10" t="e">
        <f>AND('WJP Rule of Law Index 2012-2013'!AK49,"AAAAADKq/7g=")</f>
        <v>#VALUE!</v>
      </c>
      <c r="GD10" t="e">
        <f>AND('WJP Rule of Law Index 2012-2013'!AL49,"AAAAADKq/7k=")</f>
        <v>#VALUE!</v>
      </c>
      <c r="GE10" t="e">
        <f>AND('WJP Rule of Law Index 2012-2013'!AM49,"AAAAADKq/7o=")</f>
        <v>#VALUE!</v>
      </c>
      <c r="GF10" t="e">
        <f>AND('WJP Rule of Law Index 2012-2013'!AN49,"AAAAADKq/7s=")</f>
        <v>#VALUE!</v>
      </c>
      <c r="GG10" t="e">
        <f>AND('WJP Rule of Law Index 2012-2013'!AO49,"AAAAADKq/7w=")</f>
        <v>#VALUE!</v>
      </c>
      <c r="GH10" t="e">
        <f>AND('WJP Rule of Law Index 2012-2013'!AP49,"AAAAADKq/70=")</f>
        <v>#VALUE!</v>
      </c>
      <c r="GI10" t="e">
        <f>AND('WJP Rule of Law Index 2012-2013'!AQ49,"AAAAADKq/74=")</f>
        <v>#VALUE!</v>
      </c>
      <c r="GJ10" t="e">
        <f>AND('WJP Rule of Law Index 2012-2013'!AR49,"AAAAADKq/78=")</f>
        <v>#VALUE!</v>
      </c>
      <c r="GK10" t="e">
        <f>AND('WJP Rule of Law Index 2012-2013'!AS49,"AAAAADKq/8A=")</f>
        <v>#VALUE!</v>
      </c>
      <c r="GL10" t="e">
        <f>AND('WJP Rule of Law Index 2012-2013'!AT49,"AAAAADKq/8E=")</f>
        <v>#VALUE!</v>
      </c>
      <c r="GM10">
        <f>IF('WJP Rule of Law Index 2012-2013'!50:50,"AAAAADKq/8I=",0)</f>
        <v>0</v>
      </c>
      <c r="GN10" t="e">
        <f>AND('WJP Rule of Law Index 2012-2013'!A50,"AAAAADKq/8M=")</f>
        <v>#VALUE!</v>
      </c>
      <c r="GO10" t="e">
        <f>AND('WJP Rule of Law Index 2012-2013'!B50,"AAAAADKq/8Q=")</f>
        <v>#VALUE!</v>
      </c>
      <c r="GP10" t="e">
        <f>AND('WJP Rule of Law Index 2012-2013'!#REF!,"AAAAADKq/8U=")</f>
        <v>#REF!</v>
      </c>
      <c r="GQ10" t="e">
        <f>AND('WJP Rule of Law Index 2012-2013'!C50,"AAAAADKq/8Y=")</f>
        <v>#VALUE!</v>
      </c>
      <c r="GR10" t="e">
        <f>AND('WJP Rule of Law Index 2012-2013'!#REF!,"AAAAADKq/8c=")</f>
        <v>#REF!</v>
      </c>
      <c r="GS10" t="e">
        <f>AND('WJP Rule of Law Index 2012-2013'!D50,"AAAAADKq/8g=")</f>
        <v>#VALUE!</v>
      </c>
      <c r="GT10" t="e">
        <f>AND('WJP Rule of Law Index 2012-2013'!E50,"AAAAADKq/8k=")</f>
        <v>#VALUE!</v>
      </c>
      <c r="GU10" t="e">
        <f>AND('WJP Rule of Law Index 2012-2013'!F50,"AAAAADKq/8o=")</f>
        <v>#VALUE!</v>
      </c>
      <c r="GV10" t="e">
        <f>AND('WJP Rule of Law Index 2012-2013'!G50,"AAAAADKq/8s=")</f>
        <v>#VALUE!</v>
      </c>
      <c r="GW10" t="e">
        <f>AND('WJP Rule of Law Index 2012-2013'!H50,"AAAAADKq/8w=")</f>
        <v>#VALUE!</v>
      </c>
      <c r="GX10" t="e">
        <f>AND('WJP Rule of Law Index 2012-2013'!I50,"AAAAADKq/80=")</f>
        <v>#VALUE!</v>
      </c>
      <c r="GY10" t="e">
        <f>AND('WJP Rule of Law Index 2012-2013'!J50,"AAAAADKq/84=")</f>
        <v>#VALUE!</v>
      </c>
      <c r="GZ10" t="e">
        <f>AND('WJP Rule of Law Index 2012-2013'!K50,"AAAAADKq/88=")</f>
        <v>#VALUE!</v>
      </c>
      <c r="HA10" t="e">
        <f>AND('WJP Rule of Law Index 2012-2013'!#REF!,"AAAAADKq/9A=")</f>
        <v>#REF!</v>
      </c>
      <c r="HB10" t="e">
        <f>AND('WJP Rule of Law Index 2012-2013'!#REF!,"AAAAADKq/9E=")</f>
        <v>#REF!</v>
      </c>
      <c r="HC10" t="e">
        <f>AND('WJP Rule of Law Index 2012-2013'!#REF!,"AAAAADKq/9I=")</f>
        <v>#REF!</v>
      </c>
      <c r="HD10" t="e">
        <f>AND('WJP Rule of Law Index 2012-2013'!P50,"AAAAADKq/9M=")</f>
        <v>#VALUE!</v>
      </c>
      <c r="HE10" t="e">
        <f>AND('WJP Rule of Law Index 2012-2013'!Q50,"AAAAADKq/9Q=")</f>
        <v>#VALUE!</v>
      </c>
      <c r="HF10" t="e">
        <f>AND('WJP Rule of Law Index 2012-2013'!R50,"AAAAADKq/9U=")</f>
        <v>#VALUE!</v>
      </c>
      <c r="HG10" t="e">
        <f>AND('WJP Rule of Law Index 2012-2013'!S50,"AAAAADKq/9Y=")</f>
        <v>#VALUE!</v>
      </c>
      <c r="HH10" t="e">
        <f>AND('WJP Rule of Law Index 2012-2013'!T50,"AAAAADKq/9c=")</f>
        <v>#VALUE!</v>
      </c>
      <c r="HI10" t="e">
        <f>AND('WJP Rule of Law Index 2012-2013'!U50,"AAAAADKq/9g=")</f>
        <v>#VALUE!</v>
      </c>
      <c r="HJ10" t="e">
        <f>AND('WJP Rule of Law Index 2012-2013'!V50,"AAAAADKq/9k=")</f>
        <v>#VALUE!</v>
      </c>
      <c r="HK10" t="e">
        <f>AND('WJP Rule of Law Index 2012-2013'!W50,"AAAAADKq/9o=")</f>
        <v>#VALUE!</v>
      </c>
      <c r="HL10" t="e">
        <f>AND('WJP Rule of Law Index 2012-2013'!X50,"AAAAADKq/9s=")</f>
        <v>#VALUE!</v>
      </c>
      <c r="HM10" t="e">
        <f>AND('WJP Rule of Law Index 2012-2013'!Y50,"AAAAADKq/9w=")</f>
        <v>#VALUE!</v>
      </c>
      <c r="HN10" t="e">
        <f>AND('WJP Rule of Law Index 2012-2013'!Z50,"AAAAADKq/90=")</f>
        <v>#VALUE!</v>
      </c>
      <c r="HO10" t="e">
        <f>AND('WJP Rule of Law Index 2012-2013'!AA50,"AAAAADKq/94=")</f>
        <v>#VALUE!</v>
      </c>
      <c r="HP10" t="e">
        <f>AND('WJP Rule of Law Index 2012-2013'!AB50,"AAAAADKq/98=")</f>
        <v>#VALUE!</v>
      </c>
      <c r="HQ10" t="e">
        <f>AND('WJP Rule of Law Index 2012-2013'!AC50,"AAAAADKq/+A=")</f>
        <v>#VALUE!</v>
      </c>
      <c r="HR10" t="e">
        <f>AND('WJP Rule of Law Index 2012-2013'!AD50,"AAAAADKq/+E=")</f>
        <v>#VALUE!</v>
      </c>
      <c r="HS10" t="e">
        <f>AND('WJP Rule of Law Index 2012-2013'!AE50,"AAAAADKq/+I=")</f>
        <v>#VALUE!</v>
      </c>
      <c r="HT10" t="e">
        <f>AND('WJP Rule of Law Index 2012-2013'!AF50,"AAAAADKq/+M=")</f>
        <v>#VALUE!</v>
      </c>
      <c r="HU10" t="e">
        <f>AND('WJP Rule of Law Index 2012-2013'!AG50,"AAAAADKq/+Q=")</f>
        <v>#VALUE!</v>
      </c>
      <c r="HV10" t="e">
        <f>AND('WJP Rule of Law Index 2012-2013'!#REF!,"AAAAADKq/+U=")</f>
        <v>#REF!</v>
      </c>
      <c r="HW10" t="e">
        <f>AND('WJP Rule of Law Index 2012-2013'!#REF!,"AAAAADKq/+Y=")</f>
        <v>#REF!</v>
      </c>
      <c r="HX10" t="e">
        <f>AND('WJP Rule of Law Index 2012-2013'!AH50,"AAAAADKq/+c=")</f>
        <v>#VALUE!</v>
      </c>
      <c r="HY10" t="e">
        <f>AND('WJP Rule of Law Index 2012-2013'!AI50,"AAAAADKq/+g=")</f>
        <v>#VALUE!</v>
      </c>
      <c r="HZ10" t="e">
        <f>AND('WJP Rule of Law Index 2012-2013'!AJ50,"AAAAADKq/+k=")</f>
        <v>#VALUE!</v>
      </c>
      <c r="IA10" t="e">
        <f>AND('WJP Rule of Law Index 2012-2013'!AK50,"AAAAADKq/+o=")</f>
        <v>#VALUE!</v>
      </c>
      <c r="IB10" t="e">
        <f>AND('WJP Rule of Law Index 2012-2013'!AL50,"AAAAADKq/+s=")</f>
        <v>#VALUE!</v>
      </c>
      <c r="IC10" t="e">
        <f>AND('WJP Rule of Law Index 2012-2013'!AM50,"AAAAADKq/+w=")</f>
        <v>#VALUE!</v>
      </c>
      <c r="ID10" t="e">
        <f>AND('WJP Rule of Law Index 2012-2013'!AN50,"AAAAADKq/+0=")</f>
        <v>#VALUE!</v>
      </c>
      <c r="IE10" t="e">
        <f>AND('WJP Rule of Law Index 2012-2013'!AO50,"AAAAADKq/+4=")</f>
        <v>#VALUE!</v>
      </c>
      <c r="IF10" t="e">
        <f>AND('WJP Rule of Law Index 2012-2013'!AP50,"AAAAADKq/+8=")</f>
        <v>#VALUE!</v>
      </c>
      <c r="IG10" t="e">
        <f>AND('WJP Rule of Law Index 2012-2013'!AQ50,"AAAAADKq//A=")</f>
        <v>#VALUE!</v>
      </c>
      <c r="IH10" t="e">
        <f>AND('WJP Rule of Law Index 2012-2013'!AR50,"AAAAADKq//E=")</f>
        <v>#VALUE!</v>
      </c>
      <c r="II10" t="e">
        <f>AND('WJP Rule of Law Index 2012-2013'!AS50,"AAAAADKq//I=")</f>
        <v>#VALUE!</v>
      </c>
      <c r="IJ10" t="e">
        <f>AND('WJP Rule of Law Index 2012-2013'!AT50,"AAAAADKq//M=")</f>
        <v>#VALUE!</v>
      </c>
      <c r="IK10">
        <f>IF('WJP Rule of Law Index 2012-2013'!51:51,"AAAAADKq//Q=",0)</f>
        <v>0</v>
      </c>
      <c r="IL10" t="e">
        <f>AND('WJP Rule of Law Index 2012-2013'!A51,"AAAAADKq//U=")</f>
        <v>#VALUE!</v>
      </c>
      <c r="IM10" t="e">
        <f>AND('WJP Rule of Law Index 2012-2013'!B51,"AAAAADKq//Y=")</f>
        <v>#VALUE!</v>
      </c>
      <c r="IN10" t="e">
        <f>AND('WJP Rule of Law Index 2012-2013'!#REF!,"AAAAADKq//c=")</f>
        <v>#REF!</v>
      </c>
      <c r="IO10" t="e">
        <f>AND('WJP Rule of Law Index 2012-2013'!C51,"AAAAADKq//g=")</f>
        <v>#VALUE!</v>
      </c>
      <c r="IP10" t="e">
        <f>AND('WJP Rule of Law Index 2012-2013'!#REF!,"AAAAADKq//k=")</f>
        <v>#REF!</v>
      </c>
      <c r="IQ10" t="e">
        <f>AND('WJP Rule of Law Index 2012-2013'!D51,"AAAAADKq//o=")</f>
        <v>#VALUE!</v>
      </c>
      <c r="IR10" t="e">
        <f>AND('WJP Rule of Law Index 2012-2013'!E51,"AAAAADKq//s=")</f>
        <v>#VALUE!</v>
      </c>
      <c r="IS10" t="e">
        <f>AND('WJP Rule of Law Index 2012-2013'!F51,"AAAAADKq//w=")</f>
        <v>#VALUE!</v>
      </c>
      <c r="IT10" t="e">
        <f>AND('WJP Rule of Law Index 2012-2013'!G51,"AAAAADKq//0=")</f>
        <v>#VALUE!</v>
      </c>
      <c r="IU10" t="e">
        <f>AND('WJP Rule of Law Index 2012-2013'!H51,"AAAAADKq//4=")</f>
        <v>#VALUE!</v>
      </c>
      <c r="IV10" t="e">
        <f>AND('WJP Rule of Law Index 2012-2013'!I51,"AAAAADKq//8=")</f>
        <v>#VALUE!</v>
      </c>
    </row>
    <row r="11" spans="1:256" ht="15">
      <c r="A11" t="e">
        <f>AND('WJP Rule of Law Index 2012-2013'!J51,"AAAAAHqufAA=")</f>
        <v>#VALUE!</v>
      </c>
      <c r="B11" t="e">
        <f>AND('WJP Rule of Law Index 2012-2013'!K51,"AAAAAHqufAE=")</f>
        <v>#VALUE!</v>
      </c>
      <c r="C11" t="e">
        <f>AND('WJP Rule of Law Index 2012-2013'!#REF!,"AAAAAHqufAI=")</f>
        <v>#REF!</v>
      </c>
      <c r="D11" t="e">
        <f>AND('WJP Rule of Law Index 2012-2013'!#REF!,"AAAAAHqufAM=")</f>
        <v>#REF!</v>
      </c>
      <c r="E11" t="e">
        <f>AND('WJP Rule of Law Index 2012-2013'!#REF!,"AAAAAHqufAQ=")</f>
        <v>#REF!</v>
      </c>
      <c r="F11" t="e">
        <f>AND('WJP Rule of Law Index 2012-2013'!P51,"AAAAAHqufAU=")</f>
        <v>#VALUE!</v>
      </c>
      <c r="G11" t="e">
        <f>AND('WJP Rule of Law Index 2012-2013'!Q51,"AAAAAHqufAY=")</f>
        <v>#VALUE!</v>
      </c>
      <c r="H11" t="e">
        <f>AND('WJP Rule of Law Index 2012-2013'!R51,"AAAAAHqufAc=")</f>
        <v>#VALUE!</v>
      </c>
      <c r="I11" t="e">
        <f>AND('WJP Rule of Law Index 2012-2013'!S51,"AAAAAHqufAg=")</f>
        <v>#VALUE!</v>
      </c>
      <c r="J11" t="e">
        <f>AND('WJP Rule of Law Index 2012-2013'!T51,"AAAAAHqufAk=")</f>
        <v>#VALUE!</v>
      </c>
      <c r="K11" t="e">
        <f>AND('WJP Rule of Law Index 2012-2013'!U51,"AAAAAHqufAo=")</f>
        <v>#VALUE!</v>
      </c>
      <c r="L11" t="e">
        <f>AND('WJP Rule of Law Index 2012-2013'!V51,"AAAAAHqufAs=")</f>
        <v>#VALUE!</v>
      </c>
      <c r="M11" t="e">
        <f>AND('WJP Rule of Law Index 2012-2013'!W51,"AAAAAHqufAw=")</f>
        <v>#VALUE!</v>
      </c>
      <c r="N11" t="e">
        <f>AND('WJP Rule of Law Index 2012-2013'!X51,"AAAAAHqufA0=")</f>
        <v>#VALUE!</v>
      </c>
      <c r="O11" t="e">
        <f>AND('WJP Rule of Law Index 2012-2013'!Y51,"AAAAAHqufA4=")</f>
        <v>#VALUE!</v>
      </c>
      <c r="P11" t="e">
        <f>AND('WJP Rule of Law Index 2012-2013'!Z51,"AAAAAHqufA8=")</f>
        <v>#VALUE!</v>
      </c>
      <c r="Q11" t="e">
        <f>AND('WJP Rule of Law Index 2012-2013'!AA51,"AAAAAHqufBA=")</f>
        <v>#VALUE!</v>
      </c>
      <c r="R11" t="e">
        <f>AND('WJP Rule of Law Index 2012-2013'!AB51,"AAAAAHqufBE=")</f>
        <v>#VALUE!</v>
      </c>
      <c r="S11" t="e">
        <f>AND('WJP Rule of Law Index 2012-2013'!AC51,"AAAAAHqufBI=")</f>
        <v>#VALUE!</v>
      </c>
      <c r="T11" t="e">
        <f>AND('WJP Rule of Law Index 2012-2013'!AD51,"AAAAAHqufBM=")</f>
        <v>#VALUE!</v>
      </c>
      <c r="U11" t="e">
        <f>AND('WJP Rule of Law Index 2012-2013'!AE51,"AAAAAHqufBQ=")</f>
        <v>#VALUE!</v>
      </c>
      <c r="V11" t="e">
        <f>AND('WJP Rule of Law Index 2012-2013'!AF51,"AAAAAHqufBU=")</f>
        <v>#VALUE!</v>
      </c>
      <c r="W11" t="e">
        <f>AND('WJP Rule of Law Index 2012-2013'!AG51,"AAAAAHqufBY=")</f>
        <v>#VALUE!</v>
      </c>
      <c r="X11" t="e">
        <f>AND('WJP Rule of Law Index 2012-2013'!#REF!,"AAAAAHqufBc=")</f>
        <v>#REF!</v>
      </c>
      <c r="Y11" t="e">
        <f>AND('WJP Rule of Law Index 2012-2013'!#REF!,"AAAAAHqufBg=")</f>
        <v>#REF!</v>
      </c>
      <c r="Z11" t="e">
        <f>AND('WJP Rule of Law Index 2012-2013'!AH51,"AAAAAHqufBk=")</f>
        <v>#VALUE!</v>
      </c>
      <c r="AA11" t="e">
        <f>AND('WJP Rule of Law Index 2012-2013'!AI51,"AAAAAHqufBo=")</f>
        <v>#VALUE!</v>
      </c>
      <c r="AB11" t="e">
        <f>AND('WJP Rule of Law Index 2012-2013'!AJ51,"AAAAAHqufBs=")</f>
        <v>#VALUE!</v>
      </c>
      <c r="AC11" t="e">
        <f>AND('WJP Rule of Law Index 2012-2013'!AK51,"AAAAAHqufBw=")</f>
        <v>#VALUE!</v>
      </c>
      <c r="AD11" t="e">
        <f>AND('WJP Rule of Law Index 2012-2013'!AL51,"AAAAAHqufB0=")</f>
        <v>#VALUE!</v>
      </c>
      <c r="AE11" t="e">
        <f>AND('WJP Rule of Law Index 2012-2013'!AM51,"AAAAAHqufB4=")</f>
        <v>#VALUE!</v>
      </c>
      <c r="AF11" t="e">
        <f>AND('WJP Rule of Law Index 2012-2013'!AN51,"AAAAAHqufB8=")</f>
        <v>#VALUE!</v>
      </c>
      <c r="AG11" t="e">
        <f>AND('WJP Rule of Law Index 2012-2013'!AO51,"AAAAAHqufCA=")</f>
        <v>#VALUE!</v>
      </c>
      <c r="AH11" t="e">
        <f>AND('WJP Rule of Law Index 2012-2013'!AP51,"AAAAAHqufCE=")</f>
        <v>#VALUE!</v>
      </c>
      <c r="AI11" t="e">
        <f>AND('WJP Rule of Law Index 2012-2013'!AQ51,"AAAAAHqufCI=")</f>
        <v>#VALUE!</v>
      </c>
      <c r="AJ11" t="e">
        <f>AND('WJP Rule of Law Index 2012-2013'!AR51,"AAAAAHqufCM=")</f>
        <v>#VALUE!</v>
      </c>
      <c r="AK11" t="e">
        <f>AND('WJP Rule of Law Index 2012-2013'!AS51,"AAAAAHqufCQ=")</f>
        <v>#VALUE!</v>
      </c>
      <c r="AL11" t="e">
        <f>AND('WJP Rule of Law Index 2012-2013'!AT51,"AAAAAHqufCU=")</f>
        <v>#VALUE!</v>
      </c>
      <c r="AM11" t="str">
        <f>IF('WJP Rule of Law Index 2012-2013'!52:52,"AAAAAHqufCY=",0)</f>
        <v>AAAAAHqufCY=</v>
      </c>
      <c r="AN11" t="e">
        <f>AND('WJP Rule of Law Index 2012-2013'!A52,"AAAAAHqufCc=")</f>
        <v>#VALUE!</v>
      </c>
      <c r="AO11" t="e">
        <f>AND('WJP Rule of Law Index 2012-2013'!B52,"AAAAAHqufCg=")</f>
        <v>#VALUE!</v>
      </c>
      <c r="AP11" t="e">
        <f>AND('WJP Rule of Law Index 2012-2013'!#REF!,"AAAAAHqufCk=")</f>
        <v>#REF!</v>
      </c>
      <c r="AQ11" t="e">
        <f>AND('WJP Rule of Law Index 2012-2013'!C52,"AAAAAHqufCo=")</f>
        <v>#VALUE!</v>
      </c>
      <c r="AR11" t="e">
        <f>AND('WJP Rule of Law Index 2012-2013'!#REF!,"AAAAAHqufCs=")</f>
        <v>#REF!</v>
      </c>
      <c r="AS11" t="e">
        <f>AND('WJP Rule of Law Index 2012-2013'!D52,"AAAAAHqufCw=")</f>
        <v>#VALUE!</v>
      </c>
      <c r="AT11" t="e">
        <f>AND('WJP Rule of Law Index 2012-2013'!E52,"AAAAAHqufC0=")</f>
        <v>#VALUE!</v>
      </c>
      <c r="AU11" t="e">
        <f>AND('WJP Rule of Law Index 2012-2013'!F52,"AAAAAHqufC4=")</f>
        <v>#VALUE!</v>
      </c>
      <c r="AV11" t="e">
        <f>AND('WJP Rule of Law Index 2012-2013'!G52,"AAAAAHqufC8=")</f>
        <v>#VALUE!</v>
      </c>
      <c r="AW11" t="e">
        <f>AND('WJP Rule of Law Index 2012-2013'!H52,"AAAAAHqufDA=")</f>
        <v>#VALUE!</v>
      </c>
      <c r="AX11" t="e">
        <f>AND('WJP Rule of Law Index 2012-2013'!I52,"AAAAAHqufDE=")</f>
        <v>#VALUE!</v>
      </c>
      <c r="AY11" t="e">
        <f>AND('WJP Rule of Law Index 2012-2013'!J52,"AAAAAHqufDI=")</f>
        <v>#VALUE!</v>
      </c>
      <c r="AZ11" t="e">
        <f>AND('WJP Rule of Law Index 2012-2013'!K52,"AAAAAHqufDM=")</f>
        <v>#VALUE!</v>
      </c>
      <c r="BA11" t="e">
        <f>AND('WJP Rule of Law Index 2012-2013'!#REF!,"AAAAAHqufDQ=")</f>
        <v>#REF!</v>
      </c>
      <c r="BB11" t="e">
        <f>AND('WJP Rule of Law Index 2012-2013'!#REF!,"AAAAAHqufDU=")</f>
        <v>#REF!</v>
      </c>
      <c r="BC11" t="e">
        <f>AND('WJP Rule of Law Index 2012-2013'!#REF!,"AAAAAHqufDY=")</f>
        <v>#REF!</v>
      </c>
      <c r="BD11" t="e">
        <f>AND('WJP Rule of Law Index 2012-2013'!P52,"AAAAAHqufDc=")</f>
        <v>#VALUE!</v>
      </c>
      <c r="BE11" t="e">
        <f>AND('WJP Rule of Law Index 2012-2013'!Q52,"AAAAAHqufDg=")</f>
        <v>#VALUE!</v>
      </c>
      <c r="BF11" t="e">
        <f>AND('WJP Rule of Law Index 2012-2013'!R52,"AAAAAHqufDk=")</f>
        <v>#VALUE!</v>
      </c>
      <c r="BG11" t="e">
        <f>AND('WJP Rule of Law Index 2012-2013'!S52,"AAAAAHqufDo=")</f>
        <v>#VALUE!</v>
      </c>
      <c r="BH11" t="e">
        <f>AND('WJP Rule of Law Index 2012-2013'!T52,"AAAAAHqufDs=")</f>
        <v>#VALUE!</v>
      </c>
      <c r="BI11" t="e">
        <f>AND('WJP Rule of Law Index 2012-2013'!U52,"AAAAAHqufDw=")</f>
        <v>#VALUE!</v>
      </c>
      <c r="BJ11" t="e">
        <f>AND('WJP Rule of Law Index 2012-2013'!V52,"AAAAAHqufD0=")</f>
        <v>#VALUE!</v>
      </c>
      <c r="BK11" t="e">
        <f>AND('WJP Rule of Law Index 2012-2013'!W52,"AAAAAHqufD4=")</f>
        <v>#VALUE!</v>
      </c>
      <c r="BL11" t="e">
        <f>AND('WJP Rule of Law Index 2012-2013'!X52,"AAAAAHqufD8=")</f>
        <v>#VALUE!</v>
      </c>
      <c r="BM11" t="e">
        <f>AND('WJP Rule of Law Index 2012-2013'!Y52,"AAAAAHqufEA=")</f>
        <v>#VALUE!</v>
      </c>
      <c r="BN11" t="e">
        <f>AND('WJP Rule of Law Index 2012-2013'!Z52,"AAAAAHqufEE=")</f>
        <v>#VALUE!</v>
      </c>
      <c r="BO11" t="e">
        <f>AND('WJP Rule of Law Index 2012-2013'!AA52,"AAAAAHqufEI=")</f>
        <v>#VALUE!</v>
      </c>
      <c r="BP11" t="e">
        <f>AND('WJP Rule of Law Index 2012-2013'!AB52,"AAAAAHqufEM=")</f>
        <v>#VALUE!</v>
      </c>
      <c r="BQ11" t="e">
        <f>AND('WJP Rule of Law Index 2012-2013'!AC52,"AAAAAHqufEQ=")</f>
        <v>#VALUE!</v>
      </c>
      <c r="BR11" t="e">
        <f>AND('WJP Rule of Law Index 2012-2013'!AD52,"AAAAAHqufEU=")</f>
        <v>#VALUE!</v>
      </c>
      <c r="BS11" t="e">
        <f>AND('WJP Rule of Law Index 2012-2013'!AE52,"AAAAAHqufEY=")</f>
        <v>#VALUE!</v>
      </c>
      <c r="BT11" t="e">
        <f>AND('WJP Rule of Law Index 2012-2013'!AF52,"AAAAAHqufEc=")</f>
        <v>#VALUE!</v>
      </c>
      <c r="BU11" t="e">
        <f>AND('WJP Rule of Law Index 2012-2013'!AG52,"AAAAAHqufEg=")</f>
        <v>#VALUE!</v>
      </c>
      <c r="BV11" t="e">
        <f>AND('WJP Rule of Law Index 2012-2013'!#REF!,"AAAAAHqufEk=")</f>
        <v>#REF!</v>
      </c>
      <c r="BW11" t="e">
        <f>AND('WJP Rule of Law Index 2012-2013'!#REF!,"AAAAAHqufEo=")</f>
        <v>#REF!</v>
      </c>
      <c r="BX11" t="e">
        <f>AND('WJP Rule of Law Index 2012-2013'!AH52,"AAAAAHqufEs=")</f>
        <v>#VALUE!</v>
      </c>
      <c r="BY11" t="e">
        <f>AND('WJP Rule of Law Index 2012-2013'!AI52,"AAAAAHqufEw=")</f>
        <v>#VALUE!</v>
      </c>
      <c r="BZ11" t="e">
        <f>AND('WJP Rule of Law Index 2012-2013'!AJ52,"AAAAAHqufE0=")</f>
        <v>#VALUE!</v>
      </c>
      <c r="CA11" t="e">
        <f>AND('WJP Rule of Law Index 2012-2013'!AK52,"AAAAAHqufE4=")</f>
        <v>#VALUE!</v>
      </c>
      <c r="CB11" t="e">
        <f>AND('WJP Rule of Law Index 2012-2013'!AL52,"AAAAAHqufE8=")</f>
        <v>#VALUE!</v>
      </c>
      <c r="CC11" t="e">
        <f>AND('WJP Rule of Law Index 2012-2013'!AM52,"AAAAAHqufFA=")</f>
        <v>#VALUE!</v>
      </c>
      <c r="CD11" t="e">
        <f>AND('WJP Rule of Law Index 2012-2013'!AN52,"AAAAAHqufFE=")</f>
        <v>#VALUE!</v>
      </c>
      <c r="CE11" t="e">
        <f>AND('WJP Rule of Law Index 2012-2013'!AO52,"AAAAAHqufFI=")</f>
        <v>#VALUE!</v>
      </c>
      <c r="CF11" t="e">
        <f>AND('WJP Rule of Law Index 2012-2013'!AP52,"AAAAAHqufFM=")</f>
        <v>#VALUE!</v>
      </c>
      <c r="CG11" t="e">
        <f>AND('WJP Rule of Law Index 2012-2013'!AQ52,"AAAAAHqufFQ=")</f>
        <v>#VALUE!</v>
      </c>
      <c r="CH11" t="e">
        <f>AND('WJP Rule of Law Index 2012-2013'!AR52,"AAAAAHqufFU=")</f>
        <v>#VALUE!</v>
      </c>
      <c r="CI11" t="e">
        <f>AND('WJP Rule of Law Index 2012-2013'!AS52,"AAAAAHqufFY=")</f>
        <v>#VALUE!</v>
      </c>
      <c r="CJ11" t="e">
        <f>AND('WJP Rule of Law Index 2012-2013'!AT52,"AAAAAHqufFc=")</f>
        <v>#VALUE!</v>
      </c>
      <c r="CK11">
        <f>IF('WJP Rule of Law Index 2012-2013'!53:53,"AAAAAHqufFg=",0)</f>
        <v>0</v>
      </c>
      <c r="CL11" t="e">
        <f>AND('WJP Rule of Law Index 2012-2013'!A53,"AAAAAHqufFk=")</f>
        <v>#VALUE!</v>
      </c>
      <c r="CM11" t="e">
        <f>AND('WJP Rule of Law Index 2012-2013'!B53,"AAAAAHqufFo=")</f>
        <v>#VALUE!</v>
      </c>
      <c r="CN11" t="e">
        <f>AND('WJP Rule of Law Index 2012-2013'!#REF!,"AAAAAHqufFs=")</f>
        <v>#REF!</v>
      </c>
      <c r="CO11" t="e">
        <f>AND('WJP Rule of Law Index 2012-2013'!C53,"AAAAAHqufFw=")</f>
        <v>#VALUE!</v>
      </c>
      <c r="CP11" t="e">
        <f>AND('WJP Rule of Law Index 2012-2013'!#REF!,"AAAAAHqufF0=")</f>
        <v>#REF!</v>
      </c>
      <c r="CQ11" t="e">
        <f>AND('WJP Rule of Law Index 2012-2013'!D53,"AAAAAHqufF4=")</f>
        <v>#VALUE!</v>
      </c>
      <c r="CR11" t="e">
        <f>AND('WJP Rule of Law Index 2012-2013'!E53,"AAAAAHqufF8=")</f>
        <v>#VALUE!</v>
      </c>
      <c r="CS11" t="e">
        <f>AND('WJP Rule of Law Index 2012-2013'!F53,"AAAAAHqufGA=")</f>
        <v>#VALUE!</v>
      </c>
      <c r="CT11" t="e">
        <f>AND('WJP Rule of Law Index 2012-2013'!G53,"AAAAAHqufGE=")</f>
        <v>#VALUE!</v>
      </c>
      <c r="CU11" t="e">
        <f>AND('WJP Rule of Law Index 2012-2013'!H53,"AAAAAHqufGI=")</f>
        <v>#VALUE!</v>
      </c>
      <c r="CV11" t="e">
        <f>AND('WJP Rule of Law Index 2012-2013'!I53,"AAAAAHqufGM=")</f>
        <v>#VALUE!</v>
      </c>
      <c r="CW11" t="e">
        <f>AND('WJP Rule of Law Index 2012-2013'!J53,"AAAAAHqufGQ=")</f>
        <v>#VALUE!</v>
      </c>
      <c r="CX11" t="e">
        <f>AND('WJP Rule of Law Index 2012-2013'!K53,"AAAAAHqufGU=")</f>
        <v>#VALUE!</v>
      </c>
      <c r="CY11" t="e">
        <f>AND('WJP Rule of Law Index 2012-2013'!#REF!,"AAAAAHqufGY=")</f>
        <v>#REF!</v>
      </c>
      <c r="CZ11" t="e">
        <f>AND('WJP Rule of Law Index 2012-2013'!#REF!,"AAAAAHqufGc=")</f>
        <v>#REF!</v>
      </c>
      <c r="DA11" t="e">
        <f>AND('WJP Rule of Law Index 2012-2013'!#REF!,"AAAAAHqufGg=")</f>
        <v>#REF!</v>
      </c>
      <c r="DB11" t="e">
        <f>AND('WJP Rule of Law Index 2012-2013'!P53,"AAAAAHqufGk=")</f>
        <v>#VALUE!</v>
      </c>
      <c r="DC11" t="e">
        <f>AND('WJP Rule of Law Index 2012-2013'!Q53,"AAAAAHqufGo=")</f>
        <v>#VALUE!</v>
      </c>
      <c r="DD11" t="e">
        <f>AND('WJP Rule of Law Index 2012-2013'!R53,"AAAAAHqufGs=")</f>
        <v>#VALUE!</v>
      </c>
      <c r="DE11" t="e">
        <f>AND('WJP Rule of Law Index 2012-2013'!S53,"AAAAAHqufGw=")</f>
        <v>#VALUE!</v>
      </c>
      <c r="DF11" t="e">
        <f>AND('WJP Rule of Law Index 2012-2013'!T53,"AAAAAHqufG0=")</f>
        <v>#VALUE!</v>
      </c>
      <c r="DG11" t="e">
        <f>AND('WJP Rule of Law Index 2012-2013'!U53,"AAAAAHqufG4=")</f>
        <v>#VALUE!</v>
      </c>
      <c r="DH11" t="e">
        <f>AND('WJP Rule of Law Index 2012-2013'!V53,"AAAAAHqufG8=")</f>
        <v>#VALUE!</v>
      </c>
      <c r="DI11" t="e">
        <f>AND('WJP Rule of Law Index 2012-2013'!W53,"AAAAAHqufHA=")</f>
        <v>#VALUE!</v>
      </c>
      <c r="DJ11" t="e">
        <f>AND('WJP Rule of Law Index 2012-2013'!X53,"AAAAAHqufHE=")</f>
        <v>#VALUE!</v>
      </c>
      <c r="DK11" t="e">
        <f>AND('WJP Rule of Law Index 2012-2013'!Y53,"AAAAAHqufHI=")</f>
        <v>#VALUE!</v>
      </c>
      <c r="DL11" t="e">
        <f>AND('WJP Rule of Law Index 2012-2013'!Z53,"AAAAAHqufHM=")</f>
        <v>#VALUE!</v>
      </c>
      <c r="DM11" t="e">
        <f>AND('WJP Rule of Law Index 2012-2013'!AA53,"AAAAAHqufHQ=")</f>
        <v>#VALUE!</v>
      </c>
      <c r="DN11" t="e">
        <f>AND('WJP Rule of Law Index 2012-2013'!AB53,"AAAAAHqufHU=")</f>
        <v>#VALUE!</v>
      </c>
      <c r="DO11" t="e">
        <f>AND('WJP Rule of Law Index 2012-2013'!AC53,"AAAAAHqufHY=")</f>
        <v>#VALUE!</v>
      </c>
      <c r="DP11" t="e">
        <f>AND('WJP Rule of Law Index 2012-2013'!AD53,"AAAAAHqufHc=")</f>
        <v>#VALUE!</v>
      </c>
      <c r="DQ11" t="e">
        <f>AND('WJP Rule of Law Index 2012-2013'!AE53,"AAAAAHqufHg=")</f>
        <v>#VALUE!</v>
      </c>
      <c r="DR11" t="e">
        <f>AND('WJP Rule of Law Index 2012-2013'!AF53,"AAAAAHqufHk=")</f>
        <v>#VALUE!</v>
      </c>
      <c r="DS11" t="e">
        <f>AND('WJP Rule of Law Index 2012-2013'!AG53,"AAAAAHqufHo=")</f>
        <v>#VALUE!</v>
      </c>
      <c r="DT11" t="e">
        <f>AND('WJP Rule of Law Index 2012-2013'!#REF!,"AAAAAHqufHs=")</f>
        <v>#REF!</v>
      </c>
      <c r="DU11" t="e">
        <f>AND('WJP Rule of Law Index 2012-2013'!#REF!,"AAAAAHqufHw=")</f>
        <v>#REF!</v>
      </c>
      <c r="DV11" t="e">
        <f>AND('WJP Rule of Law Index 2012-2013'!AH53,"AAAAAHqufH0=")</f>
        <v>#VALUE!</v>
      </c>
      <c r="DW11" t="e">
        <f>AND('WJP Rule of Law Index 2012-2013'!AI53,"AAAAAHqufH4=")</f>
        <v>#VALUE!</v>
      </c>
      <c r="DX11" t="e">
        <f>AND('WJP Rule of Law Index 2012-2013'!AJ53,"AAAAAHqufH8=")</f>
        <v>#VALUE!</v>
      </c>
      <c r="DY11" t="e">
        <f>AND('WJP Rule of Law Index 2012-2013'!AK53,"AAAAAHqufIA=")</f>
        <v>#VALUE!</v>
      </c>
      <c r="DZ11" t="e">
        <f>AND('WJP Rule of Law Index 2012-2013'!AL53,"AAAAAHqufIE=")</f>
        <v>#VALUE!</v>
      </c>
      <c r="EA11" t="e">
        <f>AND('WJP Rule of Law Index 2012-2013'!AM53,"AAAAAHqufII=")</f>
        <v>#VALUE!</v>
      </c>
      <c r="EB11" t="e">
        <f>AND('WJP Rule of Law Index 2012-2013'!AN53,"AAAAAHqufIM=")</f>
        <v>#VALUE!</v>
      </c>
      <c r="EC11" t="e">
        <f>AND('WJP Rule of Law Index 2012-2013'!AO53,"AAAAAHqufIQ=")</f>
        <v>#VALUE!</v>
      </c>
      <c r="ED11" t="e">
        <f>AND('WJP Rule of Law Index 2012-2013'!AP53,"AAAAAHqufIU=")</f>
        <v>#VALUE!</v>
      </c>
      <c r="EE11" t="e">
        <f>AND('WJP Rule of Law Index 2012-2013'!AQ53,"AAAAAHqufIY=")</f>
        <v>#VALUE!</v>
      </c>
      <c r="EF11" t="e">
        <f>AND('WJP Rule of Law Index 2012-2013'!AR53,"AAAAAHqufIc=")</f>
        <v>#VALUE!</v>
      </c>
      <c r="EG11" t="e">
        <f>AND('WJP Rule of Law Index 2012-2013'!AS53,"AAAAAHqufIg=")</f>
        <v>#VALUE!</v>
      </c>
      <c r="EH11" t="e">
        <f>AND('WJP Rule of Law Index 2012-2013'!AT53,"AAAAAHqufIk=")</f>
        <v>#VALUE!</v>
      </c>
      <c r="EI11">
        <f>IF('WJP Rule of Law Index 2012-2013'!54:54,"AAAAAHqufIo=",0)</f>
        <v>0</v>
      </c>
      <c r="EJ11" t="e">
        <f>AND('WJP Rule of Law Index 2012-2013'!A54,"AAAAAHqufIs=")</f>
        <v>#VALUE!</v>
      </c>
      <c r="EK11" t="e">
        <f>AND('WJP Rule of Law Index 2012-2013'!B54,"AAAAAHqufIw=")</f>
        <v>#VALUE!</v>
      </c>
      <c r="EL11" t="e">
        <f>AND('WJP Rule of Law Index 2012-2013'!#REF!,"AAAAAHqufI0=")</f>
        <v>#REF!</v>
      </c>
      <c r="EM11" t="e">
        <f>AND('WJP Rule of Law Index 2012-2013'!C54,"AAAAAHqufI4=")</f>
        <v>#VALUE!</v>
      </c>
      <c r="EN11" t="e">
        <f>AND('WJP Rule of Law Index 2012-2013'!#REF!,"AAAAAHqufI8=")</f>
        <v>#REF!</v>
      </c>
      <c r="EO11" t="e">
        <f>AND('WJP Rule of Law Index 2012-2013'!D54,"AAAAAHqufJA=")</f>
        <v>#VALUE!</v>
      </c>
      <c r="EP11" t="e">
        <f>AND('WJP Rule of Law Index 2012-2013'!E54,"AAAAAHqufJE=")</f>
        <v>#VALUE!</v>
      </c>
      <c r="EQ11" t="e">
        <f>AND('WJP Rule of Law Index 2012-2013'!F54,"AAAAAHqufJI=")</f>
        <v>#VALUE!</v>
      </c>
      <c r="ER11" t="e">
        <f>AND('WJP Rule of Law Index 2012-2013'!G54,"AAAAAHqufJM=")</f>
        <v>#VALUE!</v>
      </c>
      <c r="ES11" t="e">
        <f>AND('WJP Rule of Law Index 2012-2013'!H54,"AAAAAHqufJQ=")</f>
        <v>#VALUE!</v>
      </c>
      <c r="ET11" t="e">
        <f>AND('WJP Rule of Law Index 2012-2013'!I54,"AAAAAHqufJU=")</f>
        <v>#VALUE!</v>
      </c>
      <c r="EU11" t="e">
        <f>AND('WJP Rule of Law Index 2012-2013'!J54,"AAAAAHqufJY=")</f>
        <v>#VALUE!</v>
      </c>
      <c r="EV11" t="e">
        <f>AND('WJP Rule of Law Index 2012-2013'!K54,"AAAAAHqufJc=")</f>
        <v>#VALUE!</v>
      </c>
      <c r="EW11" t="e">
        <f>AND('WJP Rule of Law Index 2012-2013'!#REF!,"AAAAAHqufJg=")</f>
        <v>#REF!</v>
      </c>
      <c r="EX11" t="e">
        <f>AND('WJP Rule of Law Index 2012-2013'!#REF!,"AAAAAHqufJk=")</f>
        <v>#REF!</v>
      </c>
      <c r="EY11" t="e">
        <f>AND('WJP Rule of Law Index 2012-2013'!#REF!,"AAAAAHqufJo=")</f>
        <v>#REF!</v>
      </c>
      <c r="EZ11" t="e">
        <f>AND('WJP Rule of Law Index 2012-2013'!P54,"AAAAAHqufJs=")</f>
        <v>#VALUE!</v>
      </c>
      <c r="FA11" t="e">
        <f>AND('WJP Rule of Law Index 2012-2013'!Q54,"AAAAAHqufJw=")</f>
        <v>#VALUE!</v>
      </c>
      <c r="FB11" t="e">
        <f>AND('WJP Rule of Law Index 2012-2013'!R54,"AAAAAHqufJ0=")</f>
        <v>#VALUE!</v>
      </c>
      <c r="FC11" t="e">
        <f>AND('WJP Rule of Law Index 2012-2013'!S54,"AAAAAHqufJ4=")</f>
        <v>#VALUE!</v>
      </c>
      <c r="FD11" t="e">
        <f>AND('WJP Rule of Law Index 2012-2013'!T54,"AAAAAHqufJ8=")</f>
        <v>#VALUE!</v>
      </c>
      <c r="FE11" t="e">
        <f>AND('WJP Rule of Law Index 2012-2013'!U54,"AAAAAHqufKA=")</f>
        <v>#VALUE!</v>
      </c>
      <c r="FF11" t="e">
        <f>AND('WJP Rule of Law Index 2012-2013'!V54,"AAAAAHqufKE=")</f>
        <v>#VALUE!</v>
      </c>
      <c r="FG11" t="e">
        <f>AND('WJP Rule of Law Index 2012-2013'!W54,"AAAAAHqufKI=")</f>
        <v>#VALUE!</v>
      </c>
      <c r="FH11" t="e">
        <f>AND('WJP Rule of Law Index 2012-2013'!X54,"AAAAAHqufKM=")</f>
        <v>#VALUE!</v>
      </c>
      <c r="FI11" t="e">
        <f>AND('WJP Rule of Law Index 2012-2013'!Y54,"AAAAAHqufKQ=")</f>
        <v>#VALUE!</v>
      </c>
      <c r="FJ11" t="e">
        <f>AND('WJP Rule of Law Index 2012-2013'!Z54,"AAAAAHqufKU=")</f>
        <v>#VALUE!</v>
      </c>
      <c r="FK11" t="e">
        <f>AND('WJP Rule of Law Index 2012-2013'!AA54,"AAAAAHqufKY=")</f>
        <v>#VALUE!</v>
      </c>
      <c r="FL11" t="e">
        <f>AND('WJP Rule of Law Index 2012-2013'!AB54,"AAAAAHqufKc=")</f>
        <v>#VALUE!</v>
      </c>
      <c r="FM11" t="e">
        <f>AND('WJP Rule of Law Index 2012-2013'!AC54,"AAAAAHqufKg=")</f>
        <v>#VALUE!</v>
      </c>
      <c r="FN11" t="e">
        <f>AND('WJP Rule of Law Index 2012-2013'!AD54,"AAAAAHqufKk=")</f>
        <v>#VALUE!</v>
      </c>
      <c r="FO11" t="e">
        <f>AND('WJP Rule of Law Index 2012-2013'!AE54,"AAAAAHqufKo=")</f>
        <v>#VALUE!</v>
      </c>
      <c r="FP11" t="e">
        <f>AND('WJP Rule of Law Index 2012-2013'!AF54,"AAAAAHqufKs=")</f>
        <v>#VALUE!</v>
      </c>
      <c r="FQ11" t="e">
        <f>AND('WJP Rule of Law Index 2012-2013'!AG54,"AAAAAHqufKw=")</f>
        <v>#VALUE!</v>
      </c>
      <c r="FR11" t="e">
        <f>AND('WJP Rule of Law Index 2012-2013'!#REF!,"AAAAAHqufK0=")</f>
        <v>#REF!</v>
      </c>
      <c r="FS11" t="e">
        <f>AND('WJP Rule of Law Index 2012-2013'!#REF!,"AAAAAHqufK4=")</f>
        <v>#REF!</v>
      </c>
      <c r="FT11" t="e">
        <f>AND('WJP Rule of Law Index 2012-2013'!AH54,"AAAAAHqufK8=")</f>
        <v>#VALUE!</v>
      </c>
      <c r="FU11" t="e">
        <f>AND('WJP Rule of Law Index 2012-2013'!AI54,"AAAAAHqufLA=")</f>
        <v>#VALUE!</v>
      </c>
      <c r="FV11" t="e">
        <f>AND('WJP Rule of Law Index 2012-2013'!AJ54,"AAAAAHqufLE=")</f>
        <v>#VALUE!</v>
      </c>
      <c r="FW11" t="e">
        <f>AND('WJP Rule of Law Index 2012-2013'!AK54,"AAAAAHqufLI=")</f>
        <v>#VALUE!</v>
      </c>
      <c r="FX11" t="e">
        <f>AND('WJP Rule of Law Index 2012-2013'!AL54,"AAAAAHqufLM=")</f>
        <v>#VALUE!</v>
      </c>
      <c r="FY11" t="e">
        <f>AND('WJP Rule of Law Index 2012-2013'!AM54,"AAAAAHqufLQ=")</f>
        <v>#VALUE!</v>
      </c>
      <c r="FZ11" t="e">
        <f>AND('WJP Rule of Law Index 2012-2013'!AN54,"AAAAAHqufLU=")</f>
        <v>#VALUE!</v>
      </c>
      <c r="GA11" t="e">
        <f>AND('WJP Rule of Law Index 2012-2013'!AO54,"AAAAAHqufLY=")</f>
        <v>#VALUE!</v>
      </c>
      <c r="GB11" t="e">
        <f>AND('WJP Rule of Law Index 2012-2013'!AP54,"AAAAAHqufLc=")</f>
        <v>#VALUE!</v>
      </c>
      <c r="GC11" t="e">
        <f>AND('WJP Rule of Law Index 2012-2013'!AQ54,"AAAAAHqufLg=")</f>
        <v>#VALUE!</v>
      </c>
      <c r="GD11" t="e">
        <f>AND('WJP Rule of Law Index 2012-2013'!AR54,"AAAAAHqufLk=")</f>
        <v>#VALUE!</v>
      </c>
      <c r="GE11" t="e">
        <f>AND('WJP Rule of Law Index 2012-2013'!AS54,"AAAAAHqufLo=")</f>
        <v>#VALUE!</v>
      </c>
      <c r="GF11" t="e">
        <f>AND('WJP Rule of Law Index 2012-2013'!AT54,"AAAAAHqufLs=")</f>
        <v>#VALUE!</v>
      </c>
      <c r="GG11">
        <f>IF('WJP Rule of Law Index 2012-2013'!55:55,"AAAAAHqufLw=",0)</f>
        <v>0</v>
      </c>
      <c r="GH11" t="e">
        <f>AND('WJP Rule of Law Index 2012-2013'!A55,"AAAAAHqufL0=")</f>
        <v>#VALUE!</v>
      </c>
      <c r="GI11" t="e">
        <f>AND('WJP Rule of Law Index 2012-2013'!B55,"AAAAAHqufL4=")</f>
        <v>#VALUE!</v>
      </c>
      <c r="GJ11" t="e">
        <f>AND('WJP Rule of Law Index 2012-2013'!#REF!,"AAAAAHqufL8=")</f>
        <v>#REF!</v>
      </c>
      <c r="GK11" t="e">
        <f>AND('WJP Rule of Law Index 2012-2013'!C55,"AAAAAHqufMA=")</f>
        <v>#VALUE!</v>
      </c>
      <c r="GL11" t="e">
        <f>AND('WJP Rule of Law Index 2012-2013'!#REF!,"AAAAAHqufME=")</f>
        <v>#REF!</v>
      </c>
      <c r="GM11" t="e">
        <f>AND('WJP Rule of Law Index 2012-2013'!D55,"AAAAAHqufMI=")</f>
        <v>#VALUE!</v>
      </c>
      <c r="GN11" t="e">
        <f>AND('WJP Rule of Law Index 2012-2013'!E55,"AAAAAHqufMM=")</f>
        <v>#VALUE!</v>
      </c>
      <c r="GO11" t="e">
        <f>AND('WJP Rule of Law Index 2012-2013'!F55,"AAAAAHqufMQ=")</f>
        <v>#VALUE!</v>
      </c>
      <c r="GP11" t="e">
        <f>AND('WJP Rule of Law Index 2012-2013'!G55,"AAAAAHqufMU=")</f>
        <v>#VALUE!</v>
      </c>
      <c r="GQ11" t="e">
        <f>AND('WJP Rule of Law Index 2012-2013'!H55,"AAAAAHqufMY=")</f>
        <v>#VALUE!</v>
      </c>
      <c r="GR11" t="e">
        <f>AND('WJP Rule of Law Index 2012-2013'!I55,"AAAAAHqufMc=")</f>
        <v>#VALUE!</v>
      </c>
      <c r="GS11" t="e">
        <f>AND('WJP Rule of Law Index 2012-2013'!J55,"AAAAAHqufMg=")</f>
        <v>#VALUE!</v>
      </c>
      <c r="GT11" t="e">
        <f>AND('WJP Rule of Law Index 2012-2013'!K55,"AAAAAHqufMk=")</f>
        <v>#VALUE!</v>
      </c>
      <c r="GU11" t="e">
        <f>AND('WJP Rule of Law Index 2012-2013'!#REF!,"AAAAAHqufMo=")</f>
        <v>#REF!</v>
      </c>
      <c r="GV11" t="e">
        <f>AND('WJP Rule of Law Index 2012-2013'!#REF!,"AAAAAHqufMs=")</f>
        <v>#REF!</v>
      </c>
      <c r="GW11" t="e">
        <f>AND('WJP Rule of Law Index 2012-2013'!#REF!,"AAAAAHqufMw=")</f>
        <v>#REF!</v>
      </c>
      <c r="GX11" t="e">
        <f>AND('WJP Rule of Law Index 2012-2013'!P55,"AAAAAHqufM0=")</f>
        <v>#VALUE!</v>
      </c>
      <c r="GY11" t="e">
        <f>AND('WJP Rule of Law Index 2012-2013'!Q55,"AAAAAHqufM4=")</f>
        <v>#VALUE!</v>
      </c>
      <c r="GZ11" t="e">
        <f>AND('WJP Rule of Law Index 2012-2013'!R55,"AAAAAHqufM8=")</f>
        <v>#VALUE!</v>
      </c>
      <c r="HA11" t="e">
        <f>AND('WJP Rule of Law Index 2012-2013'!S55,"AAAAAHqufNA=")</f>
        <v>#VALUE!</v>
      </c>
      <c r="HB11" t="e">
        <f>AND('WJP Rule of Law Index 2012-2013'!T55,"AAAAAHqufNE=")</f>
        <v>#VALUE!</v>
      </c>
      <c r="HC11" t="e">
        <f>AND('WJP Rule of Law Index 2012-2013'!U55,"AAAAAHqufNI=")</f>
        <v>#VALUE!</v>
      </c>
      <c r="HD11" t="e">
        <f>AND('WJP Rule of Law Index 2012-2013'!V55,"AAAAAHqufNM=")</f>
        <v>#VALUE!</v>
      </c>
      <c r="HE11" t="e">
        <f>AND('WJP Rule of Law Index 2012-2013'!W55,"AAAAAHqufNQ=")</f>
        <v>#VALUE!</v>
      </c>
      <c r="HF11" t="e">
        <f>AND('WJP Rule of Law Index 2012-2013'!X55,"AAAAAHqufNU=")</f>
        <v>#VALUE!</v>
      </c>
      <c r="HG11" t="e">
        <f>AND('WJP Rule of Law Index 2012-2013'!Y55,"AAAAAHqufNY=")</f>
        <v>#VALUE!</v>
      </c>
      <c r="HH11" t="e">
        <f>AND('WJP Rule of Law Index 2012-2013'!Z55,"AAAAAHqufNc=")</f>
        <v>#VALUE!</v>
      </c>
      <c r="HI11" t="e">
        <f>AND('WJP Rule of Law Index 2012-2013'!AA55,"AAAAAHqufNg=")</f>
        <v>#VALUE!</v>
      </c>
      <c r="HJ11" t="e">
        <f>AND('WJP Rule of Law Index 2012-2013'!AB55,"AAAAAHqufNk=")</f>
        <v>#VALUE!</v>
      </c>
      <c r="HK11" t="e">
        <f>AND('WJP Rule of Law Index 2012-2013'!AC55,"AAAAAHqufNo=")</f>
        <v>#VALUE!</v>
      </c>
      <c r="HL11" t="e">
        <f>AND('WJP Rule of Law Index 2012-2013'!AD55,"AAAAAHqufNs=")</f>
        <v>#VALUE!</v>
      </c>
      <c r="HM11" t="e">
        <f>AND('WJP Rule of Law Index 2012-2013'!AE55,"AAAAAHqufNw=")</f>
        <v>#VALUE!</v>
      </c>
      <c r="HN11" t="e">
        <f>AND('WJP Rule of Law Index 2012-2013'!AF55,"AAAAAHqufN0=")</f>
        <v>#VALUE!</v>
      </c>
      <c r="HO11" t="e">
        <f>AND('WJP Rule of Law Index 2012-2013'!AG55,"AAAAAHqufN4=")</f>
        <v>#VALUE!</v>
      </c>
      <c r="HP11" t="e">
        <f>AND('WJP Rule of Law Index 2012-2013'!#REF!,"AAAAAHqufN8=")</f>
        <v>#REF!</v>
      </c>
      <c r="HQ11" t="e">
        <f>AND('WJP Rule of Law Index 2012-2013'!#REF!,"AAAAAHqufOA=")</f>
        <v>#REF!</v>
      </c>
      <c r="HR11" t="e">
        <f>AND('WJP Rule of Law Index 2012-2013'!AH55,"AAAAAHqufOE=")</f>
        <v>#VALUE!</v>
      </c>
      <c r="HS11" t="e">
        <f>AND('WJP Rule of Law Index 2012-2013'!AI55,"AAAAAHqufOI=")</f>
        <v>#VALUE!</v>
      </c>
      <c r="HT11" t="e">
        <f>AND('WJP Rule of Law Index 2012-2013'!AJ55,"AAAAAHqufOM=")</f>
        <v>#VALUE!</v>
      </c>
      <c r="HU11" t="e">
        <f>AND('WJP Rule of Law Index 2012-2013'!AK55,"AAAAAHqufOQ=")</f>
        <v>#VALUE!</v>
      </c>
      <c r="HV11" t="e">
        <f>AND('WJP Rule of Law Index 2012-2013'!AL55,"AAAAAHqufOU=")</f>
        <v>#VALUE!</v>
      </c>
      <c r="HW11" t="e">
        <f>AND('WJP Rule of Law Index 2012-2013'!AM55,"AAAAAHqufOY=")</f>
        <v>#VALUE!</v>
      </c>
      <c r="HX11" t="e">
        <f>AND('WJP Rule of Law Index 2012-2013'!AN55,"AAAAAHqufOc=")</f>
        <v>#VALUE!</v>
      </c>
      <c r="HY11" t="e">
        <f>AND('WJP Rule of Law Index 2012-2013'!AO55,"AAAAAHqufOg=")</f>
        <v>#VALUE!</v>
      </c>
      <c r="HZ11" t="e">
        <f>AND('WJP Rule of Law Index 2012-2013'!AP55,"AAAAAHqufOk=")</f>
        <v>#VALUE!</v>
      </c>
      <c r="IA11" t="e">
        <f>AND('WJP Rule of Law Index 2012-2013'!AQ55,"AAAAAHqufOo=")</f>
        <v>#VALUE!</v>
      </c>
      <c r="IB11" t="e">
        <f>AND('WJP Rule of Law Index 2012-2013'!AR55,"AAAAAHqufOs=")</f>
        <v>#VALUE!</v>
      </c>
      <c r="IC11" t="e">
        <f>AND('WJP Rule of Law Index 2012-2013'!AS55,"AAAAAHqufOw=")</f>
        <v>#VALUE!</v>
      </c>
      <c r="ID11" t="e">
        <f>AND('WJP Rule of Law Index 2012-2013'!AT55,"AAAAAHqufO0=")</f>
        <v>#VALUE!</v>
      </c>
      <c r="IE11">
        <f>IF('WJP Rule of Law Index 2012-2013'!56:56,"AAAAAHqufO4=",0)</f>
        <v>0</v>
      </c>
      <c r="IF11" t="e">
        <f>AND('WJP Rule of Law Index 2012-2013'!A56,"AAAAAHqufO8=")</f>
        <v>#VALUE!</v>
      </c>
      <c r="IG11" t="e">
        <f>AND('WJP Rule of Law Index 2012-2013'!B56,"AAAAAHqufPA=")</f>
        <v>#VALUE!</v>
      </c>
      <c r="IH11" t="e">
        <f>AND('WJP Rule of Law Index 2012-2013'!#REF!,"AAAAAHqufPE=")</f>
        <v>#REF!</v>
      </c>
      <c r="II11" t="e">
        <f>AND('WJP Rule of Law Index 2012-2013'!C56,"AAAAAHqufPI=")</f>
        <v>#VALUE!</v>
      </c>
      <c r="IJ11" t="e">
        <f>AND('WJP Rule of Law Index 2012-2013'!#REF!,"AAAAAHqufPM=")</f>
        <v>#REF!</v>
      </c>
      <c r="IK11" t="e">
        <f>AND('WJP Rule of Law Index 2012-2013'!D56,"AAAAAHqufPQ=")</f>
        <v>#VALUE!</v>
      </c>
      <c r="IL11" t="e">
        <f>AND('WJP Rule of Law Index 2012-2013'!E56,"AAAAAHqufPU=")</f>
        <v>#VALUE!</v>
      </c>
      <c r="IM11" t="e">
        <f>AND('WJP Rule of Law Index 2012-2013'!F56,"AAAAAHqufPY=")</f>
        <v>#VALUE!</v>
      </c>
      <c r="IN11" t="e">
        <f>AND('WJP Rule of Law Index 2012-2013'!G56,"AAAAAHqufPc=")</f>
        <v>#VALUE!</v>
      </c>
      <c r="IO11" t="e">
        <f>AND('WJP Rule of Law Index 2012-2013'!H56,"AAAAAHqufPg=")</f>
        <v>#VALUE!</v>
      </c>
      <c r="IP11" t="e">
        <f>AND('WJP Rule of Law Index 2012-2013'!I56,"AAAAAHqufPk=")</f>
        <v>#VALUE!</v>
      </c>
      <c r="IQ11" t="e">
        <f>AND('WJP Rule of Law Index 2012-2013'!J56,"AAAAAHqufPo=")</f>
        <v>#VALUE!</v>
      </c>
      <c r="IR11" t="e">
        <f>AND('WJP Rule of Law Index 2012-2013'!K56,"AAAAAHqufPs=")</f>
        <v>#VALUE!</v>
      </c>
      <c r="IS11" t="e">
        <f>AND('WJP Rule of Law Index 2012-2013'!#REF!,"AAAAAHqufPw=")</f>
        <v>#REF!</v>
      </c>
      <c r="IT11" t="e">
        <f>AND('WJP Rule of Law Index 2012-2013'!#REF!,"AAAAAHqufP0=")</f>
        <v>#REF!</v>
      </c>
      <c r="IU11" t="e">
        <f>AND('WJP Rule of Law Index 2012-2013'!#REF!,"AAAAAHqufP4=")</f>
        <v>#REF!</v>
      </c>
      <c r="IV11" t="e">
        <f>AND('WJP Rule of Law Index 2012-2013'!P56,"AAAAAHqufP8=")</f>
        <v>#VALUE!</v>
      </c>
    </row>
    <row r="12" spans="1:256" ht="15">
      <c r="A12" t="e">
        <f>AND('WJP Rule of Law Index 2012-2013'!Q56,"AAAAAGv//wA=")</f>
        <v>#VALUE!</v>
      </c>
      <c r="B12" t="e">
        <f>AND('WJP Rule of Law Index 2012-2013'!R56,"AAAAAGv//wE=")</f>
        <v>#VALUE!</v>
      </c>
      <c r="C12" t="e">
        <f>AND('WJP Rule of Law Index 2012-2013'!S56,"AAAAAGv//wI=")</f>
        <v>#VALUE!</v>
      </c>
      <c r="D12" t="e">
        <f>AND('WJP Rule of Law Index 2012-2013'!T56,"AAAAAGv//wM=")</f>
        <v>#VALUE!</v>
      </c>
      <c r="E12" t="e">
        <f>AND('WJP Rule of Law Index 2012-2013'!U56,"AAAAAGv//wQ=")</f>
        <v>#VALUE!</v>
      </c>
      <c r="F12" t="e">
        <f>AND('WJP Rule of Law Index 2012-2013'!V56,"AAAAAGv//wU=")</f>
        <v>#VALUE!</v>
      </c>
      <c r="G12" t="e">
        <f>AND('WJP Rule of Law Index 2012-2013'!W56,"AAAAAGv//wY=")</f>
        <v>#VALUE!</v>
      </c>
      <c r="H12" t="e">
        <f>AND('WJP Rule of Law Index 2012-2013'!X56,"AAAAAGv//wc=")</f>
        <v>#VALUE!</v>
      </c>
      <c r="I12" t="e">
        <f>AND('WJP Rule of Law Index 2012-2013'!Y56,"AAAAAGv//wg=")</f>
        <v>#VALUE!</v>
      </c>
      <c r="J12" t="e">
        <f>AND('WJP Rule of Law Index 2012-2013'!Z56,"AAAAAGv//wk=")</f>
        <v>#VALUE!</v>
      </c>
      <c r="K12" t="e">
        <f>AND('WJP Rule of Law Index 2012-2013'!AA56,"AAAAAGv//wo=")</f>
        <v>#VALUE!</v>
      </c>
      <c r="L12" t="e">
        <f>AND('WJP Rule of Law Index 2012-2013'!AB56,"AAAAAGv//ws=")</f>
        <v>#VALUE!</v>
      </c>
      <c r="M12" t="e">
        <f>AND('WJP Rule of Law Index 2012-2013'!AC56,"AAAAAGv//ww=")</f>
        <v>#VALUE!</v>
      </c>
      <c r="N12" t="e">
        <f>AND('WJP Rule of Law Index 2012-2013'!AD56,"AAAAAGv//w0=")</f>
        <v>#VALUE!</v>
      </c>
      <c r="O12" t="e">
        <f>AND('WJP Rule of Law Index 2012-2013'!AE56,"AAAAAGv//w4=")</f>
        <v>#VALUE!</v>
      </c>
      <c r="P12" t="e">
        <f>AND('WJP Rule of Law Index 2012-2013'!AF56,"AAAAAGv//w8=")</f>
        <v>#VALUE!</v>
      </c>
      <c r="Q12" t="e">
        <f>AND('WJP Rule of Law Index 2012-2013'!AG56,"AAAAAGv//xA=")</f>
        <v>#VALUE!</v>
      </c>
      <c r="R12" t="e">
        <f>AND('WJP Rule of Law Index 2012-2013'!#REF!,"AAAAAGv//xE=")</f>
        <v>#REF!</v>
      </c>
      <c r="S12" t="e">
        <f>AND('WJP Rule of Law Index 2012-2013'!#REF!,"AAAAAGv//xI=")</f>
        <v>#REF!</v>
      </c>
      <c r="T12" t="e">
        <f>AND('WJP Rule of Law Index 2012-2013'!AH56,"AAAAAGv//xM=")</f>
        <v>#VALUE!</v>
      </c>
      <c r="U12" t="e">
        <f>AND('WJP Rule of Law Index 2012-2013'!AI56,"AAAAAGv//xQ=")</f>
        <v>#VALUE!</v>
      </c>
      <c r="V12" t="e">
        <f>AND('WJP Rule of Law Index 2012-2013'!AJ56,"AAAAAGv//xU=")</f>
        <v>#VALUE!</v>
      </c>
      <c r="W12" t="e">
        <f>AND('WJP Rule of Law Index 2012-2013'!AK56,"AAAAAGv//xY=")</f>
        <v>#VALUE!</v>
      </c>
      <c r="X12" t="e">
        <f>AND('WJP Rule of Law Index 2012-2013'!AL56,"AAAAAGv//xc=")</f>
        <v>#VALUE!</v>
      </c>
      <c r="Y12" t="e">
        <f>AND('WJP Rule of Law Index 2012-2013'!AM56,"AAAAAGv//xg=")</f>
        <v>#VALUE!</v>
      </c>
      <c r="Z12" t="e">
        <f>AND('WJP Rule of Law Index 2012-2013'!AN56,"AAAAAGv//xk=")</f>
        <v>#VALUE!</v>
      </c>
      <c r="AA12" t="e">
        <f>AND('WJP Rule of Law Index 2012-2013'!AO56,"AAAAAGv//xo=")</f>
        <v>#VALUE!</v>
      </c>
      <c r="AB12" t="e">
        <f>AND('WJP Rule of Law Index 2012-2013'!AP56,"AAAAAGv//xs=")</f>
        <v>#VALUE!</v>
      </c>
      <c r="AC12" t="e">
        <f>AND('WJP Rule of Law Index 2012-2013'!AQ56,"AAAAAGv//xw=")</f>
        <v>#VALUE!</v>
      </c>
      <c r="AD12" t="e">
        <f>AND('WJP Rule of Law Index 2012-2013'!AR56,"AAAAAGv//x0=")</f>
        <v>#VALUE!</v>
      </c>
      <c r="AE12" t="e">
        <f>AND('WJP Rule of Law Index 2012-2013'!AS56,"AAAAAGv//x4=")</f>
        <v>#VALUE!</v>
      </c>
      <c r="AF12" t="e">
        <f>AND('WJP Rule of Law Index 2012-2013'!AT56,"AAAAAGv//x8=")</f>
        <v>#VALUE!</v>
      </c>
      <c r="AG12" t="str">
        <f>IF('WJP Rule of Law Index 2012-2013'!57:57,"AAAAAGv//yA=",0)</f>
        <v>AAAAAGv//yA=</v>
      </c>
      <c r="AH12" t="e">
        <f>AND('WJP Rule of Law Index 2012-2013'!A57,"AAAAAGv//yE=")</f>
        <v>#VALUE!</v>
      </c>
      <c r="AI12" t="e">
        <f>AND('WJP Rule of Law Index 2012-2013'!B57,"AAAAAGv//yI=")</f>
        <v>#VALUE!</v>
      </c>
      <c r="AJ12" t="e">
        <f>AND('WJP Rule of Law Index 2012-2013'!#REF!,"AAAAAGv//yM=")</f>
        <v>#REF!</v>
      </c>
      <c r="AK12" t="e">
        <f>AND('WJP Rule of Law Index 2012-2013'!C57,"AAAAAGv//yQ=")</f>
        <v>#VALUE!</v>
      </c>
      <c r="AL12" t="e">
        <f>AND('WJP Rule of Law Index 2012-2013'!#REF!,"AAAAAGv//yU=")</f>
        <v>#REF!</v>
      </c>
      <c r="AM12" t="e">
        <f>AND('WJP Rule of Law Index 2012-2013'!D57,"AAAAAGv//yY=")</f>
        <v>#VALUE!</v>
      </c>
      <c r="AN12" t="e">
        <f>AND('WJP Rule of Law Index 2012-2013'!E57,"AAAAAGv//yc=")</f>
        <v>#VALUE!</v>
      </c>
      <c r="AO12" t="e">
        <f>AND('WJP Rule of Law Index 2012-2013'!F57,"AAAAAGv//yg=")</f>
        <v>#VALUE!</v>
      </c>
      <c r="AP12" t="e">
        <f>AND('WJP Rule of Law Index 2012-2013'!G57,"AAAAAGv//yk=")</f>
        <v>#VALUE!</v>
      </c>
      <c r="AQ12" t="e">
        <f>AND('WJP Rule of Law Index 2012-2013'!H57,"AAAAAGv//yo=")</f>
        <v>#VALUE!</v>
      </c>
      <c r="AR12" t="e">
        <f>AND('WJP Rule of Law Index 2012-2013'!I57,"AAAAAGv//ys=")</f>
        <v>#VALUE!</v>
      </c>
      <c r="AS12" t="e">
        <f>AND('WJP Rule of Law Index 2012-2013'!J57,"AAAAAGv//yw=")</f>
        <v>#VALUE!</v>
      </c>
      <c r="AT12" t="e">
        <f>AND('WJP Rule of Law Index 2012-2013'!K57,"AAAAAGv//y0=")</f>
        <v>#VALUE!</v>
      </c>
      <c r="AU12" t="e">
        <f>AND('WJP Rule of Law Index 2012-2013'!#REF!,"AAAAAGv//y4=")</f>
        <v>#REF!</v>
      </c>
      <c r="AV12" t="e">
        <f>AND('WJP Rule of Law Index 2012-2013'!#REF!,"AAAAAGv//y8=")</f>
        <v>#REF!</v>
      </c>
      <c r="AW12" t="e">
        <f>AND('WJP Rule of Law Index 2012-2013'!#REF!,"AAAAAGv//zA=")</f>
        <v>#REF!</v>
      </c>
      <c r="AX12" t="e">
        <f>AND('WJP Rule of Law Index 2012-2013'!P57,"AAAAAGv//zE=")</f>
        <v>#VALUE!</v>
      </c>
      <c r="AY12" t="e">
        <f>AND('WJP Rule of Law Index 2012-2013'!Q57,"AAAAAGv//zI=")</f>
        <v>#VALUE!</v>
      </c>
      <c r="AZ12" t="e">
        <f>AND('WJP Rule of Law Index 2012-2013'!R57,"AAAAAGv//zM=")</f>
        <v>#VALUE!</v>
      </c>
      <c r="BA12" t="e">
        <f>AND('WJP Rule of Law Index 2012-2013'!S57,"AAAAAGv//zQ=")</f>
        <v>#VALUE!</v>
      </c>
      <c r="BB12" t="e">
        <f>AND('WJP Rule of Law Index 2012-2013'!T57,"AAAAAGv//zU=")</f>
        <v>#VALUE!</v>
      </c>
      <c r="BC12" t="e">
        <f>AND('WJP Rule of Law Index 2012-2013'!U57,"AAAAAGv//zY=")</f>
        <v>#VALUE!</v>
      </c>
      <c r="BD12" t="e">
        <f>AND('WJP Rule of Law Index 2012-2013'!V57,"AAAAAGv//zc=")</f>
        <v>#VALUE!</v>
      </c>
      <c r="BE12" t="e">
        <f>AND('WJP Rule of Law Index 2012-2013'!W57,"AAAAAGv//zg=")</f>
        <v>#VALUE!</v>
      </c>
      <c r="BF12" t="e">
        <f>AND('WJP Rule of Law Index 2012-2013'!X57,"AAAAAGv//zk=")</f>
        <v>#VALUE!</v>
      </c>
      <c r="BG12" t="e">
        <f>AND('WJP Rule of Law Index 2012-2013'!Y57,"AAAAAGv//zo=")</f>
        <v>#VALUE!</v>
      </c>
      <c r="BH12" t="e">
        <f>AND('WJP Rule of Law Index 2012-2013'!Z57,"AAAAAGv//zs=")</f>
        <v>#VALUE!</v>
      </c>
      <c r="BI12" t="e">
        <f>AND('WJP Rule of Law Index 2012-2013'!AA57,"AAAAAGv//zw=")</f>
        <v>#VALUE!</v>
      </c>
      <c r="BJ12" t="e">
        <f>AND('WJP Rule of Law Index 2012-2013'!AB57,"AAAAAGv//z0=")</f>
        <v>#VALUE!</v>
      </c>
      <c r="BK12" t="e">
        <f>AND('WJP Rule of Law Index 2012-2013'!AC57,"AAAAAGv//z4=")</f>
        <v>#VALUE!</v>
      </c>
      <c r="BL12" t="e">
        <f>AND('WJP Rule of Law Index 2012-2013'!AD57,"AAAAAGv//z8=")</f>
        <v>#VALUE!</v>
      </c>
      <c r="BM12" t="e">
        <f>AND('WJP Rule of Law Index 2012-2013'!AE57,"AAAAAGv//0A=")</f>
        <v>#VALUE!</v>
      </c>
      <c r="BN12" t="e">
        <f>AND('WJP Rule of Law Index 2012-2013'!AF57,"AAAAAGv//0E=")</f>
        <v>#VALUE!</v>
      </c>
      <c r="BO12" t="e">
        <f>AND('WJP Rule of Law Index 2012-2013'!AG57,"AAAAAGv//0I=")</f>
        <v>#VALUE!</v>
      </c>
      <c r="BP12" t="e">
        <f>AND('WJP Rule of Law Index 2012-2013'!#REF!,"AAAAAGv//0M=")</f>
        <v>#REF!</v>
      </c>
      <c r="BQ12" t="e">
        <f>AND('WJP Rule of Law Index 2012-2013'!#REF!,"AAAAAGv//0Q=")</f>
        <v>#REF!</v>
      </c>
      <c r="BR12" t="e">
        <f>AND('WJP Rule of Law Index 2012-2013'!AH57,"AAAAAGv//0U=")</f>
        <v>#VALUE!</v>
      </c>
      <c r="BS12" t="e">
        <f>AND('WJP Rule of Law Index 2012-2013'!AI57,"AAAAAGv//0Y=")</f>
        <v>#VALUE!</v>
      </c>
      <c r="BT12" t="e">
        <f>AND('WJP Rule of Law Index 2012-2013'!AJ57,"AAAAAGv//0c=")</f>
        <v>#VALUE!</v>
      </c>
      <c r="BU12" t="e">
        <f>AND('WJP Rule of Law Index 2012-2013'!AK57,"AAAAAGv//0g=")</f>
        <v>#VALUE!</v>
      </c>
      <c r="BV12" t="e">
        <f>AND('WJP Rule of Law Index 2012-2013'!AL57,"AAAAAGv//0k=")</f>
        <v>#VALUE!</v>
      </c>
      <c r="BW12" t="e">
        <f>AND('WJP Rule of Law Index 2012-2013'!AM57,"AAAAAGv//0o=")</f>
        <v>#VALUE!</v>
      </c>
      <c r="BX12" t="e">
        <f>AND('WJP Rule of Law Index 2012-2013'!AN57,"AAAAAGv//0s=")</f>
        <v>#VALUE!</v>
      </c>
      <c r="BY12" t="e">
        <f>AND('WJP Rule of Law Index 2012-2013'!AO57,"AAAAAGv//0w=")</f>
        <v>#VALUE!</v>
      </c>
      <c r="BZ12" t="e">
        <f>AND('WJP Rule of Law Index 2012-2013'!AP57,"AAAAAGv//00=")</f>
        <v>#VALUE!</v>
      </c>
      <c r="CA12" t="e">
        <f>AND('WJP Rule of Law Index 2012-2013'!AQ57,"AAAAAGv//04=")</f>
        <v>#VALUE!</v>
      </c>
      <c r="CB12" t="e">
        <f>AND('WJP Rule of Law Index 2012-2013'!AR57,"AAAAAGv//08=")</f>
        <v>#VALUE!</v>
      </c>
      <c r="CC12" t="e">
        <f>AND('WJP Rule of Law Index 2012-2013'!AS57,"AAAAAGv//1A=")</f>
        <v>#VALUE!</v>
      </c>
      <c r="CD12" t="e">
        <f>AND('WJP Rule of Law Index 2012-2013'!AT57,"AAAAAGv//1E=")</f>
        <v>#VALUE!</v>
      </c>
      <c r="CE12">
        <f>IF('WJP Rule of Law Index 2012-2013'!58:58,"AAAAAGv//1I=",0)</f>
        <v>0</v>
      </c>
      <c r="CF12" t="e">
        <f>AND('WJP Rule of Law Index 2012-2013'!A58,"AAAAAGv//1M=")</f>
        <v>#VALUE!</v>
      </c>
      <c r="CG12" t="e">
        <f>AND('WJP Rule of Law Index 2012-2013'!B58,"AAAAAGv//1Q=")</f>
        <v>#VALUE!</v>
      </c>
      <c r="CH12" t="e">
        <f>AND('WJP Rule of Law Index 2012-2013'!#REF!,"AAAAAGv//1U=")</f>
        <v>#REF!</v>
      </c>
      <c r="CI12" t="e">
        <f>AND('WJP Rule of Law Index 2012-2013'!C58,"AAAAAGv//1Y=")</f>
        <v>#VALUE!</v>
      </c>
      <c r="CJ12" t="e">
        <f>AND('WJP Rule of Law Index 2012-2013'!#REF!,"AAAAAGv//1c=")</f>
        <v>#REF!</v>
      </c>
      <c r="CK12" t="e">
        <f>AND('WJP Rule of Law Index 2012-2013'!D58,"AAAAAGv//1g=")</f>
        <v>#VALUE!</v>
      </c>
      <c r="CL12" t="e">
        <f>AND('WJP Rule of Law Index 2012-2013'!E58,"AAAAAGv//1k=")</f>
        <v>#VALUE!</v>
      </c>
      <c r="CM12" t="e">
        <f>AND('WJP Rule of Law Index 2012-2013'!F58,"AAAAAGv//1o=")</f>
        <v>#VALUE!</v>
      </c>
      <c r="CN12" t="e">
        <f>AND('WJP Rule of Law Index 2012-2013'!G58,"AAAAAGv//1s=")</f>
        <v>#VALUE!</v>
      </c>
      <c r="CO12" t="e">
        <f>AND('WJP Rule of Law Index 2012-2013'!H58,"AAAAAGv//1w=")</f>
        <v>#VALUE!</v>
      </c>
      <c r="CP12" t="e">
        <f>AND('WJP Rule of Law Index 2012-2013'!I58,"AAAAAGv//10=")</f>
        <v>#VALUE!</v>
      </c>
      <c r="CQ12" t="e">
        <f>AND('WJP Rule of Law Index 2012-2013'!J58,"AAAAAGv//14=")</f>
        <v>#VALUE!</v>
      </c>
      <c r="CR12" t="e">
        <f>AND('WJP Rule of Law Index 2012-2013'!K58,"AAAAAGv//18=")</f>
        <v>#VALUE!</v>
      </c>
      <c r="CS12" t="e">
        <f>AND('WJP Rule of Law Index 2012-2013'!#REF!,"AAAAAGv//2A=")</f>
        <v>#REF!</v>
      </c>
      <c r="CT12" t="e">
        <f>AND('WJP Rule of Law Index 2012-2013'!#REF!,"AAAAAGv//2E=")</f>
        <v>#REF!</v>
      </c>
      <c r="CU12" t="e">
        <f>AND('WJP Rule of Law Index 2012-2013'!#REF!,"AAAAAGv//2I=")</f>
        <v>#REF!</v>
      </c>
      <c r="CV12" t="e">
        <f>AND('WJP Rule of Law Index 2012-2013'!P58,"AAAAAGv//2M=")</f>
        <v>#VALUE!</v>
      </c>
      <c r="CW12" t="e">
        <f>AND('WJP Rule of Law Index 2012-2013'!Q58,"AAAAAGv//2Q=")</f>
        <v>#VALUE!</v>
      </c>
      <c r="CX12" t="e">
        <f>AND('WJP Rule of Law Index 2012-2013'!R58,"AAAAAGv//2U=")</f>
        <v>#VALUE!</v>
      </c>
      <c r="CY12" t="e">
        <f>AND('WJP Rule of Law Index 2012-2013'!S58,"AAAAAGv//2Y=")</f>
        <v>#VALUE!</v>
      </c>
      <c r="CZ12" t="e">
        <f>AND('WJP Rule of Law Index 2012-2013'!T58,"AAAAAGv//2c=")</f>
        <v>#VALUE!</v>
      </c>
      <c r="DA12" t="e">
        <f>AND('WJP Rule of Law Index 2012-2013'!U58,"AAAAAGv//2g=")</f>
        <v>#VALUE!</v>
      </c>
      <c r="DB12" t="e">
        <f>AND('WJP Rule of Law Index 2012-2013'!V58,"AAAAAGv//2k=")</f>
        <v>#VALUE!</v>
      </c>
      <c r="DC12" t="e">
        <f>AND('WJP Rule of Law Index 2012-2013'!W58,"AAAAAGv//2o=")</f>
        <v>#VALUE!</v>
      </c>
      <c r="DD12" t="e">
        <f>AND('WJP Rule of Law Index 2012-2013'!X58,"AAAAAGv//2s=")</f>
        <v>#VALUE!</v>
      </c>
      <c r="DE12" t="e">
        <f>AND('WJP Rule of Law Index 2012-2013'!Y58,"AAAAAGv//2w=")</f>
        <v>#VALUE!</v>
      </c>
      <c r="DF12" t="e">
        <f>AND('WJP Rule of Law Index 2012-2013'!Z58,"AAAAAGv//20=")</f>
        <v>#VALUE!</v>
      </c>
      <c r="DG12" t="e">
        <f>AND('WJP Rule of Law Index 2012-2013'!AA58,"AAAAAGv//24=")</f>
        <v>#VALUE!</v>
      </c>
      <c r="DH12" t="e">
        <f>AND('WJP Rule of Law Index 2012-2013'!AB58,"AAAAAGv//28=")</f>
        <v>#VALUE!</v>
      </c>
      <c r="DI12" t="e">
        <f>AND('WJP Rule of Law Index 2012-2013'!AC58,"AAAAAGv//3A=")</f>
        <v>#VALUE!</v>
      </c>
      <c r="DJ12" t="e">
        <f>AND('WJP Rule of Law Index 2012-2013'!AD58,"AAAAAGv//3E=")</f>
        <v>#VALUE!</v>
      </c>
      <c r="DK12" t="e">
        <f>AND('WJP Rule of Law Index 2012-2013'!AE58,"AAAAAGv//3I=")</f>
        <v>#VALUE!</v>
      </c>
      <c r="DL12" t="e">
        <f>AND('WJP Rule of Law Index 2012-2013'!AF58,"AAAAAGv//3M=")</f>
        <v>#VALUE!</v>
      </c>
      <c r="DM12" t="e">
        <f>AND('WJP Rule of Law Index 2012-2013'!AG58,"AAAAAGv//3Q=")</f>
        <v>#VALUE!</v>
      </c>
      <c r="DN12" t="e">
        <f>AND('WJP Rule of Law Index 2012-2013'!#REF!,"AAAAAGv//3U=")</f>
        <v>#REF!</v>
      </c>
      <c r="DO12" t="e">
        <f>AND('WJP Rule of Law Index 2012-2013'!#REF!,"AAAAAGv//3Y=")</f>
        <v>#REF!</v>
      </c>
      <c r="DP12" t="e">
        <f>AND('WJP Rule of Law Index 2012-2013'!AH58,"AAAAAGv//3c=")</f>
        <v>#VALUE!</v>
      </c>
      <c r="DQ12" t="e">
        <f>AND('WJP Rule of Law Index 2012-2013'!AI58,"AAAAAGv//3g=")</f>
        <v>#VALUE!</v>
      </c>
      <c r="DR12" t="e">
        <f>AND('WJP Rule of Law Index 2012-2013'!AJ58,"AAAAAGv//3k=")</f>
        <v>#VALUE!</v>
      </c>
      <c r="DS12" t="e">
        <f>AND('WJP Rule of Law Index 2012-2013'!AK58,"AAAAAGv//3o=")</f>
        <v>#VALUE!</v>
      </c>
      <c r="DT12" t="e">
        <f>AND('WJP Rule of Law Index 2012-2013'!AL58,"AAAAAGv//3s=")</f>
        <v>#VALUE!</v>
      </c>
      <c r="DU12" t="e">
        <f>AND('WJP Rule of Law Index 2012-2013'!AM58,"AAAAAGv//3w=")</f>
        <v>#VALUE!</v>
      </c>
      <c r="DV12" t="e">
        <f>AND('WJP Rule of Law Index 2012-2013'!AN58,"AAAAAGv//30=")</f>
        <v>#VALUE!</v>
      </c>
      <c r="DW12" t="e">
        <f>AND('WJP Rule of Law Index 2012-2013'!AO58,"AAAAAGv//34=")</f>
        <v>#VALUE!</v>
      </c>
      <c r="DX12" t="e">
        <f>AND('WJP Rule of Law Index 2012-2013'!AP58,"AAAAAGv//38=")</f>
        <v>#VALUE!</v>
      </c>
      <c r="DY12" t="e">
        <f>AND('WJP Rule of Law Index 2012-2013'!AQ58,"AAAAAGv//4A=")</f>
        <v>#VALUE!</v>
      </c>
      <c r="DZ12" t="e">
        <f>AND('WJP Rule of Law Index 2012-2013'!AR58,"AAAAAGv//4E=")</f>
        <v>#VALUE!</v>
      </c>
      <c r="EA12" t="e">
        <f>AND('WJP Rule of Law Index 2012-2013'!AS58,"AAAAAGv//4I=")</f>
        <v>#VALUE!</v>
      </c>
      <c r="EB12" t="e">
        <f>AND('WJP Rule of Law Index 2012-2013'!AT58,"AAAAAGv//4M=")</f>
        <v>#VALUE!</v>
      </c>
      <c r="EC12">
        <f>IF('WJP Rule of Law Index 2012-2013'!59:59,"AAAAAGv//4Q=",0)</f>
        <v>0</v>
      </c>
      <c r="ED12" t="e">
        <f>AND('WJP Rule of Law Index 2012-2013'!A59,"AAAAAGv//4U=")</f>
        <v>#VALUE!</v>
      </c>
      <c r="EE12" t="e">
        <f>AND('WJP Rule of Law Index 2012-2013'!B59,"AAAAAGv//4Y=")</f>
        <v>#VALUE!</v>
      </c>
      <c r="EF12" t="e">
        <f>AND('WJP Rule of Law Index 2012-2013'!#REF!,"AAAAAGv//4c=")</f>
        <v>#REF!</v>
      </c>
      <c r="EG12" t="e">
        <f>AND('WJP Rule of Law Index 2012-2013'!C59,"AAAAAGv//4g=")</f>
        <v>#VALUE!</v>
      </c>
      <c r="EH12" t="e">
        <f>AND('WJP Rule of Law Index 2012-2013'!#REF!,"AAAAAGv//4k=")</f>
        <v>#REF!</v>
      </c>
      <c r="EI12" t="e">
        <f>AND('WJP Rule of Law Index 2012-2013'!D59,"AAAAAGv//4o=")</f>
        <v>#VALUE!</v>
      </c>
      <c r="EJ12" t="e">
        <f>AND('WJP Rule of Law Index 2012-2013'!E59,"AAAAAGv//4s=")</f>
        <v>#VALUE!</v>
      </c>
      <c r="EK12" t="e">
        <f>AND('WJP Rule of Law Index 2012-2013'!F59,"AAAAAGv//4w=")</f>
        <v>#VALUE!</v>
      </c>
      <c r="EL12" t="e">
        <f>AND('WJP Rule of Law Index 2012-2013'!G59,"AAAAAGv//40=")</f>
        <v>#VALUE!</v>
      </c>
      <c r="EM12" t="e">
        <f>AND('WJP Rule of Law Index 2012-2013'!H59,"AAAAAGv//44=")</f>
        <v>#VALUE!</v>
      </c>
      <c r="EN12" t="e">
        <f>AND('WJP Rule of Law Index 2012-2013'!I59,"AAAAAGv//48=")</f>
        <v>#VALUE!</v>
      </c>
      <c r="EO12" t="e">
        <f>AND('WJP Rule of Law Index 2012-2013'!J59,"AAAAAGv//5A=")</f>
        <v>#VALUE!</v>
      </c>
      <c r="EP12" t="e">
        <f>AND('WJP Rule of Law Index 2012-2013'!K59,"AAAAAGv//5E=")</f>
        <v>#VALUE!</v>
      </c>
      <c r="EQ12" t="e">
        <f>AND('WJP Rule of Law Index 2012-2013'!#REF!,"AAAAAGv//5I=")</f>
        <v>#REF!</v>
      </c>
      <c r="ER12" t="e">
        <f>AND('WJP Rule of Law Index 2012-2013'!#REF!,"AAAAAGv//5M=")</f>
        <v>#REF!</v>
      </c>
      <c r="ES12" t="e">
        <f>AND('WJP Rule of Law Index 2012-2013'!#REF!,"AAAAAGv//5Q=")</f>
        <v>#REF!</v>
      </c>
      <c r="ET12" t="e">
        <f>AND('WJP Rule of Law Index 2012-2013'!P59,"AAAAAGv//5U=")</f>
        <v>#VALUE!</v>
      </c>
      <c r="EU12" t="e">
        <f>AND('WJP Rule of Law Index 2012-2013'!Q59,"AAAAAGv//5Y=")</f>
        <v>#VALUE!</v>
      </c>
      <c r="EV12" t="e">
        <f>AND('WJP Rule of Law Index 2012-2013'!R59,"AAAAAGv//5c=")</f>
        <v>#VALUE!</v>
      </c>
      <c r="EW12" t="e">
        <f>AND('WJP Rule of Law Index 2012-2013'!S59,"AAAAAGv//5g=")</f>
        <v>#VALUE!</v>
      </c>
      <c r="EX12" t="e">
        <f>AND('WJP Rule of Law Index 2012-2013'!T59,"AAAAAGv//5k=")</f>
        <v>#VALUE!</v>
      </c>
      <c r="EY12" t="e">
        <f>AND('WJP Rule of Law Index 2012-2013'!U59,"AAAAAGv//5o=")</f>
        <v>#VALUE!</v>
      </c>
      <c r="EZ12" t="e">
        <f>AND('WJP Rule of Law Index 2012-2013'!V59,"AAAAAGv//5s=")</f>
        <v>#VALUE!</v>
      </c>
      <c r="FA12" t="e">
        <f>AND('WJP Rule of Law Index 2012-2013'!W59,"AAAAAGv//5w=")</f>
        <v>#VALUE!</v>
      </c>
      <c r="FB12" t="e">
        <f>AND('WJP Rule of Law Index 2012-2013'!X59,"AAAAAGv//50=")</f>
        <v>#VALUE!</v>
      </c>
      <c r="FC12" t="e">
        <f>AND('WJP Rule of Law Index 2012-2013'!Y59,"AAAAAGv//54=")</f>
        <v>#VALUE!</v>
      </c>
      <c r="FD12" t="e">
        <f>AND('WJP Rule of Law Index 2012-2013'!Z59,"AAAAAGv//58=")</f>
        <v>#VALUE!</v>
      </c>
      <c r="FE12" t="e">
        <f>AND('WJP Rule of Law Index 2012-2013'!AA59,"AAAAAGv//6A=")</f>
        <v>#VALUE!</v>
      </c>
      <c r="FF12" t="e">
        <f>AND('WJP Rule of Law Index 2012-2013'!AB59,"AAAAAGv//6E=")</f>
        <v>#VALUE!</v>
      </c>
      <c r="FG12" t="e">
        <f>AND('WJP Rule of Law Index 2012-2013'!AC59,"AAAAAGv//6I=")</f>
        <v>#VALUE!</v>
      </c>
      <c r="FH12" t="e">
        <f>AND('WJP Rule of Law Index 2012-2013'!AD59,"AAAAAGv//6M=")</f>
        <v>#VALUE!</v>
      </c>
      <c r="FI12" t="e">
        <f>AND('WJP Rule of Law Index 2012-2013'!AE59,"AAAAAGv//6Q=")</f>
        <v>#VALUE!</v>
      </c>
      <c r="FJ12" t="e">
        <f>AND('WJP Rule of Law Index 2012-2013'!AF59,"AAAAAGv//6U=")</f>
        <v>#VALUE!</v>
      </c>
      <c r="FK12" t="e">
        <f>AND('WJP Rule of Law Index 2012-2013'!AG59,"AAAAAGv//6Y=")</f>
        <v>#VALUE!</v>
      </c>
      <c r="FL12" t="e">
        <f>AND('WJP Rule of Law Index 2012-2013'!#REF!,"AAAAAGv//6c=")</f>
        <v>#REF!</v>
      </c>
      <c r="FM12" t="e">
        <f>AND('WJP Rule of Law Index 2012-2013'!#REF!,"AAAAAGv//6g=")</f>
        <v>#REF!</v>
      </c>
      <c r="FN12" t="e">
        <f>AND('WJP Rule of Law Index 2012-2013'!AH59,"AAAAAGv//6k=")</f>
        <v>#VALUE!</v>
      </c>
      <c r="FO12" t="e">
        <f>AND('WJP Rule of Law Index 2012-2013'!AI59,"AAAAAGv//6o=")</f>
        <v>#VALUE!</v>
      </c>
      <c r="FP12" t="e">
        <f>AND('WJP Rule of Law Index 2012-2013'!AJ59,"AAAAAGv//6s=")</f>
        <v>#VALUE!</v>
      </c>
      <c r="FQ12" t="e">
        <f>AND('WJP Rule of Law Index 2012-2013'!AK59,"AAAAAGv//6w=")</f>
        <v>#VALUE!</v>
      </c>
      <c r="FR12" t="e">
        <f>AND('WJP Rule of Law Index 2012-2013'!AL59,"AAAAAGv//60=")</f>
        <v>#VALUE!</v>
      </c>
      <c r="FS12" t="e">
        <f>AND('WJP Rule of Law Index 2012-2013'!AM59,"AAAAAGv//64=")</f>
        <v>#VALUE!</v>
      </c>
      <c r="FT12" t="e">
        <f>AND('WJP Rule of Law Index 2012-2013'!AN59,"AAAAAGv//68=")</f>
        <v>#VALUE!</v>
      </c>
      <c r="FU12" t="e">
        <f>AND('WJP Rule of Law Index 2012-2013'!AO59,"AAAAAGv//7A=")</f>
        <v>#VALUE!</v>
      </c>
      <c r="FV12" t="e">
        <f>AND('WJP Rule of Law Index 2012-2013'!AP59,"AAAAAGv//7E=")</f>
        <v>#VALUE!</v>
      </c>
      <c r="FW12" t="e">
        <f>AND('WJP Rule of Law Index 2012-2013'!AQ59,"AAAAAGv//7I=")</f>
        <v>#VALUE!</v>
      </c>
      <c r="FX12" t="e">
        <f>AND('WJP Rule of Law Index 2012-2013'!AR59,"AAAAAGv//7M=")</f>
        <v>#VALUE!</v>
      </c>
      <c r="FY12" t="e">
        <f>AND('WJP Rule of Law Index 2012-2013'!AS59,"AAAAAGv//7Q=")</f>
        <v>#VALUE!</v>
      </c>
      <c r="FZ12" t="e">
        <f>AND('WJP Rule of Law Index 2012-2013'!AT59,"AAAAAGv//7U=")</f>
        <v>#VALUE!</v>
      </c>
      <c r="GA12">
        <f>IF('WJP Rule of Law Index 2012-2013'!60:60,"AAAAAGv//7Y=",0)</f>
        <v>0</v>
      </c>
      <c r="GB12" t="e">
        <f>AND('WJP Rule of Law Index 2012-2013'!A60,"AAAAAGv//7c=")</f>
        <v>#VALUE!</v>
      </c>
      <c r="GC12" t="e">
        <f>AND('WJP Rule of Law Index 2012-2013'!B60,"AAAAAGv//7g=")</f>
        <v>#VALUE!</v>
      </c>
      <c r="GD12" t="e">
        <f>AND('WJP Rule of Law Index 2012-2013'!#REF!,"AAAAAGv//7k=")</f>
        <v>#REF!</v>
      </c>
      <c r="GE12" t="e">
        <f>AND('WJP Rule of Law Index 2012-2013'!C60,"AAAAAGv//7o=")</f>
        <v>#VALUE!</v>
      </c>
      <c r="GF12" t="e">
        <f>AND('WJP Rule of Law Index 2012-2013'!#REF!,"AAAAAGv//7s=")</f>
        <v>#REF!</v>
      </c>
      <c r="GG12" t="e">
        <f>AND('WJP Rule of Law Index 2012-2013'!D60,"AAAAAGv//7w=")</f>
        <v>#VALUE!</v>
      </c>
      <c r="GH12" t="e">
        <f>AND('WJP Rule of Law Index 2012-2013'!E60,"AAAAAGv//70=")</f>
        <v>#VALUE!</v>
      </c>
      <c r="GI12" t="e">
        <f>AND('WJP Rule of Law Index 2012-2013'!F60,"AAAAAGv//74=")</f>
        <v>#VALUE!</v>
      </c>
      <c r="GJ12" t="e">
        <f>AND('WJP Rule of Law Index 2012-2013'!G60,"AAAAAGv//78=")</f>
        <v>#VALUE!</v>
      </c>
      <c r="GK12" t="e">
        <f>AND('WJP Rule of Law Index 2012-2013'!H60,"AAAAAGv//8A=")</f>
        <v>#VALUE!</v>
      </c>
      <c r="GL12" t="e">
        <f>AND('WJP Rule of Law Index 2012-2013'!I60,"AAAAAGv//8E=")</f>
        <v>#VALUE!</v>
      </c>
      <c r="GM12" t="e">
        <f>AND('WJP Rule of Law Index 2012-2013'!J60,"AAAAAGv//8I=")</f>
        <v>#VALUE!</v>
      </c>
      <c r="GN12" t="e">
        <f>AND('WJP Rule of Law Index 2012-2013'!K60,"AAAAAGv//8M=")</f>
        <v>#VALUE!</v>
      </c>
      <c r="GO12" t="e">
        <f>AND('WJP Rule of Law Index 2012-2013'!#REF!,"AAAAAGv//8Q=")</f>
        <v>#REF!</v>
      </c>
      <c r="GP12" t="e">
        <f>AND('WJP Rule of Law Index 2012-2013'!#REF!,"AAAAAGv//8U=")</f>
        <v>#REF!</v>
      </c>
      <c r="GQ12" t="e">
        <f>AND('WJP Rule of Law Index 2012-2013'!#REF!,"AAAAAGv//8Y=")</f>
        <v>#REF!</v>
      </c>
      <c r="GR12" t="e">
        <f>AND('WJP Rule of Law Index 2012-2013'!P60,"AAAAAGv//8c=")</f>
        <v>#VALUE!</v>
      </c>
      <c r="GS12" t="e">
        <f>AND('WJP Rule of Law Index 2012-2013'!Q60,"AAAAAGv//8g=")</f>
        <v>#VALUE!</v>
      </c>
      <c r="GT12" t="e">
        <f>AND('WJP Rule of Law Index 2012-2013'!R60,"AAAAAGv//8k=")</f>
        <v>#VALUE!</v>
      </c>
      <c r="GU12" t="e">
        <f>AND('WJP Rule of Law Index 2012-2013'!S60,"AAAAAGv//8o=")</f>
        <v>#VALUE!</v>
      </c>
      <c r="GV12" t="e">
        <f>AND('WJP Rule of Law Index 2012-2013'!T60,"AAAAAGv//8s=")</f>
        <v>#VALUE!</v>
      </c>
      <c r="GW12" t="e">
        <f>AND('WJP Rule of Law Index 2012-2013'!U60,"AAAAAGv//8w=")</f>
        <v>#VALUE!</v>
      </c>
      <c r="GX12" t="e">
        <f>AND('WJP Rule of Law Index 2012-2013'!V60,"AAAAAGv//80=")</f>
        <v>#VALUE!</v>
      </c>
      <c r="GY12" t="e">
        <f>AND('WJP Rule of Law Index 2012-2013'!W60,"AAAAAGv//84=")</f>
        <v>#VALUE!</v>
      </c>
      <c r="GZ12" t="e">
        <f>AND('WJP Rule of Law Index 2012-2013'!X60,"AAAAAGv//88=")</f>
        <v>#VALUE!</v>
      </c>
      <c r="HA12" t="e">
        <f>AND('WJP Rule of Law Index 2012-2013'!Y60,"AAAAAGv//9A=")</f>
        <v>#VALUE!</v>
      </c>
      <c r="HB12" t="e">
        <f>AND('WJP Rule of Law Index 2012-2013'!Z60,"AAAAAGv//9E=")</f>
        <v>#VALUE!</v>
      </c>
      <c r="HC12" t="e">
        <f>AND('WJP Rule of Law Index 2012-2013'!AA60,"AAAAAGv//9I=")</f>
        <v>#VALUE!</v>
      </c>
      <c r="HD12" t="e">
        <f>AND('WJP Rule of Law Index 2012-2013'!AB60,"AAAAAGv//9M=")</f>
        <v>#VALUE!</v>
      </c>
      <c r="HE12" t="e">
        <f>AND('WJP Rule of Law Index 2012-2013'!AC60,"AAAAAGv//9Q=")</f>
        <v>#VALUE!</v>
      </c>
      <c r="HF12" t="e">
        <f>AND('WJP Rule of Law Index 2012-2013'!AD60,"AAAAAGv//9U=")</f>
        <v>#VALUE!</v>
      </c>
      <c r="HG12" t="e">
        <f>AND('WJP Rule of Law Index 2012-2013'!AE60,"AAAAAGv//9Y=")</f>
        <v>#VALUE!</v>
      </c>
      <c r="HH12" t="e">
        <f>AND('WJP Rule of Law Index 2012-2013'!AF60,"AAAAAGv//9c=")</f>
        <v>#VALUE!</v>
      </c>
      <c r="HI12" t="e">
        <f>AND('WJP Rule of Law Index 2012-2013'!AG60,"AAAAAGv//9g=")</f>
        <v>#VALUE!</v>
      </c>
      <c r="HJ12" t="e">
        <f>AND('WJP Rule of Law Index 2012-2013'!#REF!,"AAAAAGv//9k=")</f>
        <v>#REF!</v>
      </c>
      <c r="HK12" t="e">
        <f>AND('WJP Rule of Law Index 2012-2013'!#REF!,"AAAAAGv//9o=")</f>
        <v>#REF!</v>
      </c>
      <c r="HL12" t="e">
        <f>AND('WJP Rule of Law Index 2012-2013'!AH60,"AAAAAGv//9s=")</f>
        <v>#VALUE!</v>
      </c>
      <c r="HM12" t="e">
        <f>AND('WJP Rule of Law Index 2012-2013'!AI60,"AAAAAGv//9w=")</f>
        <v>#VALUE!</v>
      </c>
      <c r="HN12" t="e">
        <f>AND('WJP Rule of Law Index 2012-2013'!AJ60,"AAAAAGv//90=")</f>
        <v>#VALUE!</v>
      </c>
      <c r="HO12" t="e">
        <f>AND('WJP Rule of Law Index 2012-2013'!AK60,"AAAAAGv//94=")</f>
        <v>#VALUE!</v>
      </c>
      <c r="HP12" t="e">
        <f>AND('WJP Rule of Law Index 2012-2013'!AL60,"AAAAAGv//98=")</f>
        <v>#VALUE!</v>
      </c>
      <c r="HQ12" t="e">
        <f>AND('WJP Rule of Law Index 2012-2013'!AM60,"AAAAAGv//+A=")</f>
        <v>#VALUE!</v>
      </c>
      <c r="HR12" t="e">
        <f>AND('WJP Rule of Law Index 2012-2013'!AN60,"AAAAAGv//+E=")</f>
        <v>#VALUE!</v>
      </c>
      <c r="HS12" t="e">
        <f>AND('WJP Rule of Law Index 2012-2013'!AO60,"AAAAAGv//+I=")</f>
        <v>#VALUE!</v>
      </c>
      <c r="HT12" t="e">
        <f>AND('WJP Rule of Law Index 2012-2013'!AP60,"AAAAAGv//+M=")</f>
        <v>#VALUE!</v>
      </c>
      <c r="HU12" t="e">
        <f>AND('WJP Rule of Law Index 2012-2013'!AQ60,"AAAAAGv//+Q=")</f>
        <v>#VALUE!</v>
      </c>
      <c r="HV12" t="e">
        <f>AND('WJP Rule of Law Index 2012-2013'!AR60,"AAAAAGv//+U=")</f>
        <v>#VALUE!</v>
      </c>
      <c r="HW12" t="e">
        <f>AND('WJP Rule of Law Index 2012-2013'!AS60,"AAAAAGv//+Y=")</f>
        <v>#VALUE!</v>
      </c>
      <c r="HX12" t="e">
        <f>AND('WJP Rule of Law Index 2012-2013'!AT60,"AAAAAGv//+c=")</f>
        <v>#VALUE!</v>
      </c>
      <c r="HY12">
        <f>IF('WJP Rule of Law Index 2012-2013'!61:61,"AAAAAGv//+g=",0)</f>
        <v>0</v>
      </c>
      <c r="HZ12" t="e">
        <f>AND('WJP Rule of Law Index 2012-2013'!A61,"AAAAAGv//+k=")</f>
        <v>#VALUE!</v>
      </c>
      <c r="IA12" t="e">
        <f>AND('WJP Rule of Law Index 2012-2013'!B61,"AAAAAGv//+o=")</f>
        <v>#VALUE!</v>
      </c>
      <c r="IB12" t="e">
        <f>AND('WJP Rule of Law Index 2012-2013'!#REF!,"AAAAAGv//+s=")</f>
        <v>#REF!</v>
      </c>
      <c r="IC12" t="e">
        <f>AND('WJP Rule of Law Index 2012-2013'!C61,"AAAAAGv//+w=")</f>
        <v>#VALUE!</v>
      </c>
      <c r="ID12" t="e">
        <f>AND('WJP Rule of Law Index 2012-2013'!#REF!,"AAAAAGv//+0=")</f>
        <v>#REF!</v>
      </c>
      <c r="IE12" t="e">
        <f>AND('WJP Rule of Law Index 2012-2013'!D61,"AAAAAGv//+4=")</f>
        <v>#VALUE!</v>
      </c>
      <c r="IF12" t="e">
        <f>AND('WJP Rule of Law Index 2012-2013'!E61,"AAAAAGv//+8=")</f>
        <v>#VALUE!</v>
      </c>
      <c r="IG12" t="e">
        <f>AND('WJP Rule of Law Index 2012-2013'!F61,"AAAAAGv///A=")</f>
        <v>#VALUE!</v>
      </c>
      <c r="IH12" t="e">
        <f>AND('WJP Rule of Law Index 2012-2013'!G61,"AAAAAGv///E=")</f>
        <v>#VALUE!</v>
      </c>
      <c r="II12" t="e">
        <f>AND('WJP Rule of Law Index 2012-2013'!H61,"AAAAAGv///I=")</f>
        <v>#VALUE!</v>
      </c>
      <c r="IJ12" t="e">
        <f>AND('WJP Rule of Law Index 2012-2013'!I61,"AAAAAGv///M=")</f>
        <v>#VALUE!</v>
      </c>
      <c r="IK12" t="e">
        <f>AND('WJP Rule of Law Index 2012-2013'!J61,"AAAAAGv///Q=")</f>
        <v>#VALUE!</v>
      </c>
      <c r="IL12" t="e">
        <f>AND('WJP Rule of Law Index 2012-2013'!K61,"AAAAAGv///U=")</f>
        <v>#VALUE!</v>
      </c>
      <c r="IM12" t="e">
        <f>AND('WJP Rule of Law Index 2012-2013'!#REF!,"AAAAAGv///Y=")</f>
        <v>#REF!</v>
      </c>
      <c r="IN12" t="e">
        <f>AND('WJP Rule of Law Index 2012-2013'!#REF!,"AAAAAGv///c=")</f>
        <v>#REF!</v>
      </c>
      <c r="IO12" t="e">
        <f>AND('WJP Rule of Law Index 2012-2013'!#REF!,"AAAAAGv///g=")</f>
        <v>#REF!</v>
      </c>
      <c r="IP12" t="e">
        <f>AND('WJP Rule of Law Index 2012-2013'!P61,"AAAAAGv///k=")</f>
        <v>#VALUE!</v>
      </c>
      <c r="IQ12" t="e">
        <f>AND('WJP Rule of Law Index 2012-2013'!Q61,"AAAAAGv///o=")</f>
        <v>#VALUE!</v>
      </c>
      <c r="IR12" t="e">
        <f>AND('WJP Rule of Law Index 2012-2013'!R61,"AAAAAGv///s=")</f>
        <v>#VALUE!</v>
      </c>
      <c r="IS12" t="e">
        <f>AND('WJP Rule of Law Index 2012-2013'!S61,"AAAAAGv///w=")</f>
        <v>#VALUE!</v>
      </c>
      <c r="IT12" t="e">
        <f>AND('WJP Rule of Law Index 2012-2013'!T61,"AAAAAGv///0=")</f>
        <v>#VALUE!</v>
      </c>
      <c r="IU12" t="e">
        <f>AND('WJP Rule of Law Index 2012-2013'!U61,"AAAAAGv///4=")</f>
        <v>#VALUE!</v>
      </c>
      <c r="IV12" t="e">
        <f>AND('WJP Rule of Law Index 2012-2013'!V61,"AAAAAGv///8=")</f>
        <v>#VALUE!</v>
      </c>
    </row>
    <row r="13" spans="1:256" ht="15">
      <c r="A13" t="e">
        <f>AND('WJP Rule of Law Index 2012-2013'!W61,"AAAAAG/y7wA=")</f>
        <v>#VALUE!</v>
      </c>
      <c r="B13" t="e">
        <f>AND('WJP Rule of Law Index 2012-2013'!X61,"AAAAAG/y7wE=")</f>
        <v>#VALUE!</v>
      </c>
      <c r="C13" t="e">
        <f>AND('WJP Rule of Law Index 2012-2013'!Y61,"AAAAAG/y7wI=")</f>
        <v>#VALUE!</v>
      </c>
      <c r="D13" t="e">
        <f>AND('WJP Rule of Law Index 2012-2013'!Z61,"AAAAAG/y7wM=")</f>
        <v>#VALUE!</v>
      </c>
      <c r="E13" t="e">
        <f>AND('WJP Rule of Law Index 2012-2013'!AA61,"AAAAAG/y7wQ=")</f>
        <v>#VALUE!</v>
      </c>
      <c r="F13" t="e">
        <f>AND('WJP Rule of Law Index 2012-2013'!AB61,"AAAAAG/y7wU=")</f>
        <v>#VALUE!</v>
      </c>
      <c r="G13" t="e">
        <f>AND('WJP Rule of Law Index 2012-2013'!AC61,"AAAAAG/y7wY=")</f>
        <v>#VALUE!</v>
      </c>
      <c r="H13" t="e">
        <f>AND('WJP Rule of Law Index 2012-2013'!AD61,"AAAAAG/y7wc=")</f>
        <v>#VALUE!</v>
      </c>
      <c r="I13" t="e">
        <f>AND('WJP Rule of Law Index 2012-2013'!AE61,"AAAAAG/y7wg=")</f>
        <v>#VALUE!</v>
      </c>
      <c r="J13" t="e">
        <f>AND('WJP Rule of Law Index 2012-2013'!AF61,"AAAAAG/y7wk=")</f>
        <v>#VALUE!</v>
      </c>
      <c r="K13" t="e">
        <f>AND('WJP Rule of Law Index 2012-2013'!AG61,"AAAAAG/y7wo=")</f>
        <v>#VALUE!</v>
      </c>
      <c r="L13" t="e">
        <f>AND('WJP Rule of Law Index 2012-2013'!#REF!,"AAAAAG/y7ws=")</f>
        <v>#REF!</v>
      </c>
      <c r="M13" t="e">
        <f>AND('WJP Rule of Law Index 2012-2013'!#REF!,"AAAAAG/y7ww=")</f>
        <v>#REF!</v>
      </c>
      <c r="N13" t="e">
        <f>AND('WJP Rule of Law Index 2012-2013'!AH61,"AAAAAG/y7w0=")</f>
        <v>#VALUE!</v>
      </c>
      <c r="O13" t="e">
        <f>AND('WJP Rule of Law Index 2012-2013'!AI61,"AAAAAG/y7w4=")</f>
        <v>#VALUE!</v>
      </c>
      <c r="P13" t="e">
        <f>AND('WJP Rule of Law Index 2012-2013'!AJ61,"AAAAAG/y7w8=")</f>
        <v>#VALUE!</v>
      </c>
      <c r="Q13" t="e">
        <f>AND('WJP Rule of Law Index 2012-2013'!AK61,"AAAAAG/y7xA=")</f>
        <v>#VALUE!</v>
      </c>
      <c r="R13" t="e">
        <f>AND('WJP Rule of Law Index 2012-2013'!AL61,"AAAAAG/y7xE=")</f>
        <v>#VALUE!</v>
      </c>
      <c r="S13" t="e">
        <f>AND('WJP Rule of Law Index 2012-2013'!AM61,"AAAAAG/y7xI=")</f>
        <v>#VALUE!</v>
      </c>
      <c r="T13" t="e">
        <f>AND('WJP Rule of Law Index 2012-2013'!AN61,"AAAAAG/y7xM=")</f>
        <v>#VALUE!</v>
      </c>
      <c r="U13" t="e">
        <f>AND('WJP Rule of Law Index 2012-2013'!AO61,"AAAAAG/y7xQ=")</f>
        <v>#VALUE!</v>
      </c>
      <c r="V13" t="e">
        <f>AND('WJP Rule of Law Index 2012-2013'!AP61,"AAAAAG/y7xU=")</f>
        <v>#VALUE!</v>
      </c>
      <c r="W13" t="e">
        <f>AND('WJP Rule of Law Index 2012-2013'!AQ61,"AAAAAG/y7xY=")</f>
        <v>#VALUE!</v>
      </c>
      <c r="X13" t="e">
        <f>AND('WJP Rule of Law Index 2012-2013'!AR61,"AAAAAG/y7xc=")</f>
        <v>#VALUE!</v>
      </c>
      <c r="Y13" t="e">
        <f>AND('WJP Rule of Law Index 2012-2013'!AS61,"AAAAAG/y7xg=")</f>
        <v>#VALUE!</v>
      </c>
      <c r="Z13" t="e">
        <f>AND('WJP Rule of Law Index 2012-2013'!AT61,"AAAAAG/y7xk=")</f>
        <v>#VALUE!</v>
      </c>
      <c r="AA13" t="str">
        <f>IF('WJP Rule of Law Index 2012-2013'!62:62,"AAAAAG/y7xo=",0)</f>
        <v>AAAAAG/y7xo=</v>
      </c>
      <c r="AB13" t="e">
        <f>AND('WJP Rule of Law Index 2012-2013'!A62,"AAAAAG/y7xs=")</f>
        <v>#VALUE!</v>
      </c>
      <c r="AC13" t="e">
        <f>AND('WJP Rule of Law Index 2012-2013'!B62,"AAAAAG/y7xw=")</f>
        <v>#VALUE!</v>
      </c>
      <c r="AD13" t="e">
        <f>AND('WJP Rule of Law Index 2012-2013'!#REF!,"AAAAAG/y7x0=")</f>
        <v>#REF!</v>
      </c>
      <c r="AE13" t="e">
        <f>AND('WJP Rule of Law Index 2012-2013'!C62,"AAAAAG/y7x4=")</f>
        <v>#VALUE!</v>
      </c>
      <c r="AF13" t="e">
        <f>AND('WJP Rule of Law Index 2012-2013'!#REF!,"AAAAAG/y7x8=")</f>
        <v>#REF!</v>
      </c>
      <c r="AG13" t="e">
        <f>AND('WJP Rule of Law Index 2012-2013'!D62,"AAAAAG/y7yA=")</f>
        <v>#VALUE!</v>
      </c>
      <c r="AH13" t="e">
        <f>AND('WJP Rule of Law Index 2012-2013'!E62,"AAAAAG/y7yE=")</f>
        <v>#VALUE!</v>
      </c>
      <c r="AI13" t="e">
        <f>AND('WJP Rule of Law Index 2012-2013'!F62,"AAAAAG/y7yI=")</f>
        <v>#VALUE!</v>
      </c>
      <c r="AJ13" t="e">
        <f>AND('WJP Rule of Law Index 2012-2013'!G62,"AAAAAG/y7yM=")</f>
        <v>#VALUE!</v>
      </c>
      <c r="AK13" t="e">
        <f>AND('WJP Rule of Law Index 2012-2013'!H62,"AAAAAG/y7yQ=")</f>
        <v>#VALUE!</v>
      </c>
      <c r="AL13" t="e">
        <f>AND('WJP Rule of Law Index 2012-2013'!I62,"AAAAAG/y7yU=")</f>
        <v>#VALUE!</v>
      </c>
      <c r="AM13" t="e">
        <f>AND('WJP Rule of Law Index 2012-2013'!J62,"AAAAAG/y7yY=")</f>
        <v>#VALUE!</v>
      </c>
      <c r="AN13" t="e">
        <f>AND('WJP Rule of Law Index 2012-2013'!K62,"AAAAAG/y7yc=")</f>
        <v>#VALUE!</v>
      </c>
      <c r="AO13" t="e">
        <f>AND('WJP Rule of Law Index 2012-2013'!#REF!,"AAAAAG/y7yg=")</f>
        <v>#REF!</v>
      </c>
      <c r="AP13" t="e">
        <f>AND('WJP Rule of Law Index 2012-2013'!#REF!,"AAAAAG/y7yk=")</f>
        <v>#REF!</v>
      </c>
      <c r="AQ13" t="e">
        <f>AND('WJP Rule of Law Index 2012-2013'!#REF!,"AAAAAG/y7yo=")</f>
        <v>#REF!</v>
      </c>
      <c r="AR13" t="e">
        <f>AND('WJP Rule of Law Index 2012-2013'!P62,"AAAAAG/y7ys=")</f>
        <v>#VALUE!</v>
      </c>
      <c r="AS13" t="e">
        <f>AND('WJP Rule of Law Index 2012-2013'!Q62,"AAAAAG/y7yw=")</f>
        <v>#VALUE!</v>
      </c>
      <c r="AT13" t="e">
        <f>AND('WJP Rule of Law Index 2012-2013'!R62,"AAAAAG/y7y0=")</f>
        <v>#VALUE!</v>
      </c>
      <c r="AU13" t="e">
        <f>AND('WJP Rule of Law Index 2012-2013'!S62,"AAAAAG/y7y4=")</f>
        <v>#VALUE!</v>
      </c>
      <c r="AV13" t="e">
        <f>AND('WJP Rule of Law Index 2012-2013'!T62,"AAAAAG/y7y8=")</f>
        <v>#VALUE!</v>
      </c>
      <c r="AW13" t="e">
        <f>AND('WJP Rule of Law Index 2012-2013'!U62,"AAAAAG/y7zA=")</f>
        <v>#VALUE!</v>
      </c>
      <c r="AX13" t="e">
        <f>AND('WJP Rule of Law Index 2012-2013'!V62,"AAAAAG/y7zE=")</f>
        <v>#VALUE!</v>
      </c>
      <c r="AY13" t="e">
        <f>AND('WJP Rule of Law Index 2012-2013'!W62,"AAAAAG/y7zI=")</f>
        <v>#VALUE!</v>
      </c>
      <c r="AZ13" t="e">
        <f>AND('WJP Rule of Law Index 2012-2013'!X62,"AAAAAG/y7zM=")</f>
        <v>#VALUE!</v>
      </c>
      <c r="BA13" t="e">
        <f>AND('WJP Rule of Law Index 2012-2013'!Y62,"AAAAAG/y7zQ=")</f>
        <v>#VALUE!</v>
      </c>
      <c r="BB13" t="e">
        <f>AND('WJP Rule of Law Index 2012-2013'!Z62,"AAAAAG/y7zU=")</f>
        <v>#VALUE!</v>
      </c>
      <c r="BC13" t="e">
        <f>AND('WJP Rule of Law Index 2012-2013'!AA62,"AAAAAG/y7zY=")</f>
        <v>#VALUE!</v>
      </c>
      <c r="BD13" t="e">
        <f>AND('WJP Rule of Law Index 2012-2013'!AB62,"AAAAAG/y7zc=")</f>
        <v>#VALUE!</v>
      </c>
      <c r="BE13" t="e">
        <f>AND('WJP Rule of Law Index 2012-2013'!AC62,"AAAAAG/y7zg=")</f>
        <v>#VALUE!</v>
      </c>
      <c r="BF13" t="e">
        <f>AND('WJP Rule of Law Index 2012-2013'!AD62,"AAAAAG/y7zk=")</f>
        <v>#VALUE!</v>
      </c>
      <c r="BG13" t="e">
        <f>AND('WJP Rule of Law Index 2012-2013'!AE62,"AAAAAG/y7zo=")</f>
        <v>#VALUE!</v>
      </c>
      <c r="BH13" t="e">
        <f>AND('WJP Rule of Law Index 2012-2013'!AF62,"AAAAAG/y7zs=")</f>
        <v>#VALUE!</v>
      </c>
      <c r="BI13" t="e">
        <f>AND('WJP Rule of Law Index 2012-2013'!AG62,"AAAAAG/y7zw=")</f>
        <v>#VALUE!</v>
      </c>
      <c r="BJ13" t="e">
        <f>AND('WJP Rule of Law Index 2012-2013'!#REF!,"AAAAAG/y7z0=")</f>
        <v>#REF!</v>
      </c>
      <c r="BK13" t="e">
        <f>AND('WJP Rule of Law Index 2012-2013'!#REF!,"AAAAAG/y7z4=")</f>
        <v>#REF!</v>
      </c>
      <c r="BL13" t="e">
        <f>AND('WJP Rule of Law Index 2012-2013'!AH62,"AAAAAG/y7z8=")</f>
        <v>#VALUE!</v>
      </c>
      <c r="BM13" t="e">
        <f>AND('WJP Rule of Law Index 2012-2013'!AI62,"AAAAAG/y70A=")</f>
        <v>#VALUE!</v>
      </c>
      <c r="BN13" t="e">
        <f>AND('WJP Rule of Law Index 2012-2013'!AJ62,"AAAAAG/y70E=")</f>
        <v>#VALUE!</v>
      </c>
      <c r="BO13" t="e">
        <f>AND('WJP Rule of Law Index 2012-2013'!AK62,"AAAAAG/y70I=")</f>
        <v>#VALUE!</v>
      </c>
      <c r="BP13" t="e">
        <f>AND('WJP Rule of Law Index 2012-2013'!AL62,"AAAAAG/y70M=")</f>
        <v>#VALUE!</v>
      </c>
      <c r="BQ13" t="e">
        <f>AND('WJP Rule of Law Index 2012-2013'!AM62,"AAAAAG/y70Q=")</f>
        <v>#VALUE!</v>
      </c>
      <c r="BR13" t="e">
        <f>AND('WJP Rule of Law Index 2012-2013'!AN62,"AAAAAG/y70U=")</f>
        <v>#VALUE!</v>
      </c>
      <c r="BS13" t="e">
        <f>AND('WJP Rule of Law Index 2012-2013'!AO62,"AAAAAG/y70Y=")</f>
        <v>#VALUE!</v>
      </c>
      <c r="BT13" t="e">
        <f>AND('WJP Rule of Law Index 2012-2013'!AP62,"AAAAAG/y70c=")</f>
        <v>#VALUE!</v>
      </c>
      <c r="BU13" t="e">
        <f>AND('WJP Rule of Law Index 2012-2013'!AQ62,"AAAAAG/y70g=")</f>
        <v>#VALUE!</v>
      </c>
      <c r="BV13" t="e">
        <f>AND('WJP Rule of Law Index 2012-2013'!AR62,"AAAAAG/y70k=")</f>
        <v>#VALUE!</v>
      </c>
      <c r="BW13" t="e">
        <f>AND('WJP Rule of Law Index 2012-2013'!AS62,"AAAAAG/y70o=")</f>
        <v>#VALUE!</v>
      </c>
      <c r="BX13" t="e">
        <f>AND('WJP Rule of Law Index 2012-2013'!AT62,"AAAAAG/y70s=")</f>
        <v>#VALUE!</v>
      </c>
      <c r="BY13">
        <f>IF('WJP Rule of Law Index 2012-2013'!63:63,"AAAAAG/y70w=",0)</f>
        <v>0</v>
      </c>
      <c r="BZ13" t="e">
        <f>AND('WJP Rule of Law Index 2012-2013'!A63,"AAAAAG/y700=")</f>
        <v>#VALUE!</v>
      </c>
      <c r="CA13" t="e">
        <f>AND('WJP Rule of Law Index 2012-2013'!B63,"AAAAAG/y704=")</f>
        <v>#VALUE!</v>
      </c>
      <c r="CB13" t="e">
        <f>AND('WJP Rule of Law Index 2012-2013'!#REF!,"AAAAAG/y708=")</f>
        <v>#REF!</v>
      </c>
      <c r="CC13" t="e">
        <f>AND('WJP Rule of Law Index 2012-2013'!C63,"AAAAAG/y71A=")</f>
        <v>#VALUE!</v>
      </c>
      <c r="CD13" t="e">
        <f>AND('WJP Rule of Law Index 2012-2013'!#REF!,"AAAAAG/y71E=")</f>
        <v>#REF!</v>
      </c>
      <c r="CE13" t="e">
        <f>AND('WJP Rule of Law Index 2012-2013'!D63,"AAAAAG/y71I=")</f>
        <v>#VALUE!</v>
      </c>
      <c r="CF13" t="e">
        <f>AND('WJP Rule of Law Index 2012-2013'!E63,"AAAAAG/y71M=")</f>
        <v>#VALUE!</v>
      </c>
      <c r="CG13" t="e">
        <f>AND('WJP Rule of Law Index 2012-2013'!F63,"AAAAAG/y71Q=")</f>
        <v>#VALUE!</v>
      </c>
      <c r="CH13" t="e">
        <f>AND('WJP Rule of Law Index 2012-2013'!G63,"AAAAAG/y71U=")</f>
        <v>#VALUE!</v>
      </c>
      <c r="CI13" t="e">
        <f>AND('WJP Rule of Law Index 2012-2013'!H63,"AAAAAG/y71Y=")</f>
        <v>#VALUE!</v>
      </c>
      <c r="CJ13" t="e">
        <f>AND('WJP Rule of Law Index 2012-2013'!I63,"AAAAAG/y71c=")</f>
        <v>#VALUE!</v>
      </c>
      <c r="CK13" t="e">
        <f>AND('WJP Rule of Law Index 2012-2013'!J63,"AAAAAG/y71g=")</f>
        <v>#VALUE!</v>
      </c>
      <c r="CL13" t="e">
        <f>AND('WJP Rule of Law Index 2012-2013'!K63,"AAAAAG/y71k=")</f>
        <v>#VALUE!</v>
      </c>
      <c r="CM13" t="e">
        <f>AND('WJP Rule of Law Index 2012-2013'!#REF!,"AAAAAG/y71o=")</f>
        <v>#REF!</v>
      </c>
      <c r="CN13" t="e">
        <f>AND('WJP Rule of Law Index 2012-2013'!#REF!,"AAAAAG/y71s=")</f>
        <v>#REF!</v>
      </c>
      <c r="CO13" t="e">
        <f>AND('WJP Rule of Law Index 2012-2013'!#REF!,"AAAAAG/y71w=")</f>
        <v>#REF!</v>
      </c>
      <c r="CP13" t="e">
        <f>AND('WJP Rule of Law Index 2012-2013'!P63,"AAAAAG/y710=")</f>
        <v>#VALUE!</v>
      </c>
      <c r="CQ13" t="e">
        <f>AND('WJP Rule of Law Index 2012-2013'!Q63,"AAAAAG/y714=")</f>
        <v>#VALUE!</v>
      </c>
      <c r="CR13" t="e">
        <f>AND('WJP Rule of Law Index 2012-2013'!R63,"AAAAAG/y718=")</f>
        <v>#VALUE!</v>
      </c>
      <c r="CS13" t="e">
        <f>AND('WJP Rule of Law Index 2012-2013'!S63,"AAAAAG/y72A=")</f>
        <v>#VALUE!</v>
      </c>
      <c r="CT13" t="e">
        <f>AND('WJP Rule of Law Index 2012-2013'!T63,"AAAAAG/y72E=")</f>
        <v>#VALUE!</v>
      </c>
      <c r="CU13" t="e">
        <f>AND('WJP Rule of Law Index 2012-2013'!U63,"AAAAAG/y72I=")</f>
        <v>#VALUE!</v>
      </c>
      <c r="CV13" t="e">
        <f>AND('WJP Rule of Law Index 2012-2013'!V63,"AAAAAG/y72M=")</f>
        <v>#VALUE!</v>
      </c>
      <c r="CW13" t="e">
        <f>AND('WJP Rule of Law Index 2012-2013'!W63,"AAAAAG/y72Q=")</f>
        <v>#VALUE!</v>
      </c>
      <c r="CX13" t="e">
        <f>AND('WJP Rule of Law Index 2012-2013'!X63,"AAAAAG/y72U=")</f>
        <v>#VALUE!</v>
      </c>
      <c r="CY13" t="e">
        <f>AND('WJP Rule of Law Index 2012-2013'!Y63,"AAAAAG/y72Y=")</f>
        <v>#VALUE!</v>
      </c>
      <c r="CZ13" t="e">
        <f>AND('WJP Rule of Law Index 2012-2013'!Z63,"AAAAAG/y72c=")</f>
        <v>#VALUE!</v>
      </c>
      <c r="DA13" t="e">
        <f>AND('WJP Rule of Law Index 2012-2013'!AA63,"AAAAAG/y72g=")</f>
        <v>#VALUE!</v>
      </c>
      <c r="DB13" t="e">
        <f>AND('WJP Rule of Law Index 2012-2013'!AB63,"AAAAAG/y72k=")</f>
        <v>#VALUE!</v>
      </c>
      <c r="DC13" t="e">
        <f>AND('WJP Rule of Law Index 2012-2013'!AC63,"AAAAAG/y72o=")</f>
        <v>#VALUE!</v>
      </c>
      <c r="DD13" t="e">
        <f>AND('WJP Rule of Law Index 2012-2013'!AD63,"AAAAAG/y72s=")</f>
        <v>#VALUE!</v>
      </c>
      <c r="DE13" t="e">
        <f>AND('WJP Rule of Law Index 2012-2013'!AE63,"AAAAAG/y72w=")</f>
        <v>#VALUE!</v>
      </c>
      <c r="DF13" t="e">
        <f>AND('WJP Rule of Law Index 2012-2013'!AF63,"AAAAAG/y720=")</f>
        <v>#VALUE!</v>
      </c>
      <c r="DG13" t="e">
        <f>AND('WJP Rule of Law Index 2012-2013'!AG63,"AAAAAG/y724=")</f>
        <v>#VALUE!</v>
      </c>
      <c r="DH13" t="e">
        <f>AND('WJP Rule of Law Index 2012-2013'!#REF!,"AAAAAG/y728=")</f>
        <v>#REF!</v>
      </c>
      <c r="DI13" t="e">
        <f>AND('WJP Rule of Law Index 2012-2013'!#REF!,"AAAAAG/y73A=")</f>
        <v>#REF!</v>
      </c>
      <c r="DJ13" t="e">
        <f>AND('WJP Rule of Law Index 2012-2013'!AH63,"AAAAAG/y73E=")</f>
        <v>#VALUE!</v>
      </c>
      <c r="DK13" t="e">
        <f>AND('WJP Rule of Law Index 2012-2013'!AI63,"AAAAAG/y73I=")</f>
        <v>#VALUE!</v>
      </c>
      <c r="DL13" t="e">
        <f>AND('WJP Rule of Law Index 2012-2013'!AJ63,"AAAAAG/y73M=")</f>
        <v>#VALUE!</v>
      </c>
      <c r="DM13" t="e">
        <f>AND('WJP Rule of Law Index 2012-2013'!AK63,"AAAAAG/y73Q=")</f>
        <v>#VALUE!</v>
      </c>
      <c r="DN13" t="e">
        <f>AND('WJP Rule of Law Index 2012-2013'!AL63,"AAAAAG/y73U=")</f>
        <v>#VALUE!</v>
      </c>
      <c r="DO13" t="e">
        <f>AND('WJP Rule of Law Index 2012-2013'!AM63,"AAAAAG/y73Y=")</f>
        <v>#VALUE!</v>
      </c>
      <c r="DP13" t="e">
        <f>AND('WJP Rule of Law Index 2012-2013'!AN63,"AAAAAG/y73c=")</f>
        <v>#VALUE!</v>
      </c>
      <c r="DQ13" t="e">
        <f>AND('WJP Rule of Law Index 2012-2013'!AO63,"AAAAAG/y73g=")</f>
        <v>#VALUE!</v>
      </c>
      <c r="DR13" t="e">
        <f>AND('WJP Rule of Law Index 2012-2013'!AP63,"AAAAAG/y73k=")</f>
        <v>#VALUE!</v>
      </c>
      <c r="DS13" t="e">
        <f>AND('WJP Rule of Law Index 2012-2013'!AQ63,"AAAAAG/y73o=")</f>
        <v>#VALUE!</v>
      </c>
      <c r="DT13" t="e">
        <f>AND('WJP Rule of Law Index 2012-2013'!AR63,"AAAAAG/y73s=")</f>
        <v>#VALUE!</v>
      </c>
      <c r="DU13" t="e">
        <f>AND('WJP Rule of Law Index 2012-2013'!AS63,"AAAAAG/y73w=")</f>
        <v>#VALUE!</v>
      </c>
      <c r="DV13" t="e">
        <f>AND('WJP Rule of Law Index 2012-2013'!AT63,"AAAAAG/y730=")</f>
        <v>#VALUE!</v>
      </c>
      <c r="DW13">
        <f>IF('WJP Rule of Law Index 2012-2013'!64:64,"AAAAAG/y734=",0)</f>
        <v>0</v>
      </c>
      <c r="DX13" t="e">
        <f>AND('WJP Rule of Law Index 2012-2013'!A64,"AAAAAG/y738=")</f>
        <v>#VALUE!</v>
      </c>
      <c r="DY13" t="e">
        <f>AND('WJP Rule of Law Index 2012-2013'!B64,"AAAAAG/y74A=")</f>
        <v>#VALUE!</v>
      </c>
      <c r="DZ13" t="e">
        <f>AND('WJP Rule of Law Index 2012-2013'!#REF!,"AAAAAG/y74E=")</f>
        <v>#REF!</v>
      </c>
      <c r="EA13" t="e">
        <f>AND('WJP Rule of Law Index 2012-2013'!C64,"AAAAAG/y74I=")</f>
        <v>#VALUE!</v>
      </c>
      <c r="EB13" t="e">
        <f>AND('WJP Rule of Law Index 2012-2013'!#REF!,"AAAAAG/y74M=")</f>
        <v>#REF!</v>
      </c>
      <c r="EC13" t="e">
        <f>AND('WJP Rule of Law Index 2012-2013'!D64,"AAAAAG/y74Q=")</f>
        <v>#VALUE!</v>
      </c>
      <c r="ED13" t="e">
        <f>AND('WJP Rule of Law Index 2012-2013'!E64,"AAAAAG/y74U=")</f>
        <v>#VALUE!</v>
      </c>
      <c r="EE13" t="e">
        <f>AND('WJP Rule of Law Index 2012-2013'!F64,"AAAAAG/y74Y=")</f>
        <v>#VALUE!</v>
      </c>
      <c r="EF13" t="e">
        <f>AND('WJP Rule of Law Index 2012-2013'!G64,"AAAAAG/y74c=")</f>
        <v>#VALUE!</v>
      </c>
      <c r="EG13" t="e">
        <f>AND('WJP Rule of Law Index 2012-2013'!H64,"AAAAAG/y74g=")</f>
        <v>#VALUE!</v>
      </c>
      <c r="EH13" t="e">
        <f>AND('WJP Rule of Law Index 2012-2013'!I64,"AAAAAG/y74k=")</f>
        <v>#VALUE!</v>
      </c>
      <c r="EI13" t="e">
        <f>AND('WJP Rule of Law Index 2012-2013'!J64,"AAAAAG/y74o=")</f>
        <v>#VALUE!</v>
      </c>
      <c r="EJ13" t="e">
        <f>AND('WJP Rule of Law Index 2012-2013'!K64,"AAAAAG/y74s=")</f>
        <v>#VALUE!</v>
      </c>
      <c r="EK13" t="e">
        <f>AND('WJP Rule of Law Index 2012-2013'!#REF!,"AAAAAG/y74w=")</f>
        <v>#REF!</v>
      </c>
      <c r="EL13" t="e">
        <f>AND('WJP Rule of Law Index 2012-2013'!#REF!,"AAAAAG/y740=")</f>
        <v>#REF!</v>
      </c>
      <c r="EM13" t="e">
        <f>AND('WJP Rule of Law Index 2012-2013'!#REF!,"AAAAAG/y744=")</f>
        <v>#REF!</v>
      </c>
      <c r="EN13" t="e">
        <f>AND('WJP Rule of Law Index 2012-2013'!P64,"AAAAAG/y748=")</f>
        <v>#VALUE!</v>
      </c>
      <c r="EO13" t="e">
        <f>AND('WJP Rule of Law Index 2012-2013'!Q64,"AAAAAG/y75A=")</f>
        <v>#VALUE!</v>
      </c>
      <c r="EP13" t="e">
        <f>AND('WJP Rule of Law Index 2012-2013'!R64,"AAAAAG/y75E=")</f>
        <v>#VALUE!</v>
      </c>
      <c r="EQ13" t="e">
        <f>AND('WJP Rule of Law Index 2012-2013'!S64,"AAAAAG/y75I=")</f>
        <v>#VALUE!</v>
      </c>
      <c r="ER13" t="e">
        <f>AND('WJP Rule of Law Index 2012-2013'!T64,"AAAAAG/y75M=")</f>
        <v>#VALUE!</v>
      </c>
      <c r="ES13" t="e">
        <f>AND('WJP Rule of Law Index 2012-2013'!U64,"AAAAAG/y75Q=")</f>
        <v>#VALUE!</v>
      </c>
      <c r="ET13" t="e">
        <f>AND('WJP Rule of Law Index 2012-2013'!V64,"AAAAAG/y75U=")</f>
        <v>#VALUE!</v>
      </c>
      <c r="EU13" t="e">
        <f>AND('WJP Rule of Law Index 2012-2013'!W64,"AAAAAG/y75Y=")</f>
        <v>#VALUE!</v>
      </c>
      <c r="EV13" t="e">
        <f>AND('WJP Rule of Law Index 2012-2013'!X64,"AAAAAG/y75c=")</f>
        <v>#VALUE!</v>
      </c>
      <c r="EW13" t="e">
        <f>AND('WJP Rule of Law Index 2012-2013'!Y64,"AAAAAG/y75g=")</f>
        <v>#VALUE!</v>
      </c>
      <c r="EX13" t="e">
        <f>AND('WJP Rule of Law Index 2012-2013'!Z64,"AAAAAG/y75k=")</f>
        <v>#VALUE!</v>
      </c>
      <c r="EY13" t="e">
        <f>AND('WJP Rule of Law Index 2012-2013'!AA64,"AAAAAG/y75o=")</f>
        <v>#VALUE!</v>
      </c>
      <c r="EZ13" t="e">
        <f>AND('WJP Rule of Law Index 2012-2013'!AB64,"AAAAAG/y75s=")</f>
        <v>#VALUE!</v>
      </c>
      <c r="FA13" t="e">
        <f>AND('WJP Rule of Law Index 2012-2013'!AC64,"AAAAAG/y75w=")</f>
        <v>#VALUE!</v>
      </c>
      <c r="FB13" t="e">
        <f>AND('WJP Rule of Law Index 2012-2013'!AD64,"AAAAAG/y750=")</f>
        <v>#VALUE!</v>
      </c>
      <c r="FC13" t="e">
        <f>AND('WJP Rule of Law Index 2012-2013'!AE64,"AAAAAG/y754=")</f>
        <v>#VALUE!</v>
      </c>
      <c r="FD13" t="e">
        <f>AND('WJP Rule of Law Index 2012-2013'!AF64,"AAAAAG/y758=")</f>
        <v>#VALUE!</v>
      </c>
      <c r="FE13" t="e">
        <f>AND('WJP Rule of Law Index 2012-2013'!AG64,"AAAAAG/y76A=")</f>
        <v>#VALUE!</v>
      </c>
      <c r="FF13" t="e">
        <f>AND('WJP Rule of Law Index 2012-2013'!#REF!,"AAAAAG/y76E=")</f>
        <v>#REF!</v>
      </c>
      <c r="FG13" t="e">
        <f>AND('WJP Rule of Law Index 2012-2013'!#REF!,"AAAAAG/y76I=")</f>
        <v>#REF!</v>
      </c>
      <c r="FH13" t="e">
        <f>AND('WJP Rule of Law Index 2012-2013'!AH64,"AAAAAG/y76M=")</f>
        <v>#VALUE!</v>
      </c>
      <c r="FI13" t="e">
        <f>AND('WJP Rule of Law Index 2012-2013'!AI64,"AAAAAG/y76Q=")</f>
        <v>#VALUE!</v>
      </c>
      <c r="FJ13" t="e">
        <f>AND('WJP Rule of Law Index 2012-2013'!AJ64,"AAAAAG/y76U=")</f>
        <v>#VALUE!</v>
      </c>
      <c r="FK13" t="e">
        <f>AND('WJP Rule of Law Index 2012-2013'!AK64,"AAAAAG/y76Y=")</f>
        <v>#VALUE!</v>
      </c>
      <c r="FL13" t="e">
        <f>AND('WJP Rule of Law Index 2012-2013'!AL64,"AAAAAG/y76c=")</f>
        <v>#VALUE!</v>
      </c>
      <c r="FM13" t="e">
        <f>AND('WJP Rule of Law Index 2012-2013'!AM64,"AAAAAG/y76g=")</f>
        <v>#VALUE!</v>
      </c>
      <c r="FN13" t="e">
        <f>AND('WJP Rule of Law Index 2012-2013'!AN64,"AAAAAG/y76k=")</f>
        <v>#VALUE!</v>
      </c>
      <c r="FO13" t="e">
        <f>AND('WJP Rule of Law Index 2012-2013'!AO64,"AAAAAG/y76o=")</f>
        <v>#VALUE!</v>
      </c>
      <c r="FP13" t="e">
        <f>AND('WJP Rule of Law Index 2012-2013'!AP64,"AAAAAG/y76s=")</f>
        <v>#VALUE!</v>
      </c>
      <c r="FQ13" t="e">
        <f>AND('WJP Rule of Law Index 2012-2013'!AQ64,"AAAAAG/y76w=")</f>
        <v>#VALUE!</v>
      </c>
      <c r="FR13" t="e">
        <f>AND('WJP Rule of Law Index 2012-2013'!AR64,"AAAAAG/y760=")</f>
        <v>#VALUE!</v>
      </c>
      <c r="FS13" t="e">
        <f>AND('WJP Rule of Law Index 2012-2013'!AS64,"AAAAAG/y764=")</f>
        <v>#VALUE!</v>
      </c>
      <c r="FT13" t="e">
        <f>AND('WJP Rule of Law Index 2012-2013'!AT64,"AAAAAG/y768=")</f>
        <v>#VALUE!</v>
      </c>
      <c r="FU13">
        <f>IF('WJP Rule of Law Index 2012-2013'!65:65,"AAAAAG/y77A=",0)</f>
        <v>0</v>
      </c>
      <c r="FV13" t="e">
        <f>AND('WJP Rule of Law Index 2012-2013'!A65,"AAAAAG/y77E=")</f>
        <v>#VALUE!</v>
      </c>
      <c r="FW13" t="e">
        <f>AND('WJP Rule of Law Index 2012-2013'!B65,"AAAAAG/y77I=")</f>
        <v>#VALUE!</v>
      </c>
      <c r="FX13" t="e">
        <f>AND('WJP Rule of Law Index 2012-2013'!#REF!,"AAAAAG/y77M=")</f>
        <v>#REF!</v>
      </c>
      <c r="FY13" t="e">
        <f>AND('WJP Rule of Law Index 2012-2013'!C65,"AAAAAG/y77Q=")</f>
        <v>#VALUE!</v>
      </c>
      <c r="FZ13" t="e">
        <f>AND('WJP Rule of Law Index 2012-2013'!#REF!,"AAAAAG/y77U=")</f>
        <v>#REF!</v>
      </c>
      <c r="GA13" t="e">
        <f>AND('WJP Rule of Law Index 2012-2013'!D65,"AAAAAG/y77Y=")</f>
        <v>#VALUE!</v>
      </c>
      <c r="GB13" t="e">
        <f>AND('WJP Rule of Law Index 2012-2013'!E65,"AAAAAG/y77c=")</f>
        <v>#VALUE!</v>
      </c>
      <c r="GC13" t="e">
        <f>AND('WJP Rule of Law Index 2012-2013'!F65,"AAAAAG/y77g=")</f>
        <v>#VALUE!</v>
      </c>
      <c r="GD13" t="e">
        <f>AND('WJP Rule of Law Index 2012-2013'!G65,"AAAAAG/y77k=")</f>
        <v>#VALUE!</v>
      </c>
      <c r="GE13" t="e">
        <f>AND('WJP Rule of Law Index 2012-2013'!H65,"AAAAAG/y77o=")</f>
        <v>#VALUE!</v>
      </c>
      <c r="GF13" t="e">
        <f>AND('WJP Rule of Law Index 2012-2013'!I65,"AAAAAG/y77s=")</f>
        <v>#VALUE!</v>
      </c>
      <c r="GG13" t="e">
        <f>AND('WJP Rule of Law Index 2012-2013'!J65,"AAAAAG/y77w=")</f>
        <v>#VALUE!</v>
      </c>
      <c r="GH13" t="e">
        <f>AND('WJP Rule of Law Index 2012-2013'!K65,"AAAAAG/y770=")</f>
        <v>#VALUE!</v>
      </c>
      <c r="GI13" t="e">
        <f>AND('WJP Rule of Law Index 2012-2013'!#REF!,"AAAAAG/y774=")</f>
        <v>#REF!</v>
      </c>
      <c r="GJ13" t="e">
        <f>AND('WJP Rule of Law Index 2012-2013'!#REF!,"AAAAAG/y778=")</f>
        <v>#REF!</v>
      </c>
      <c r="GK13" t="e">
        <f>AND('WJP Rule of Law Index 2012-2013'!#REF!,"AAAAAG/y78A=")</f>
        <v>#REF!</v>
      </c>
      <c r="GL13" t="e">
        <f>AND('WJP Rule of Law Index 2012-2013'!P65,"AAAAAG/y78E=")</f>
        <v>#VALUE!</v>
      </c>
      <c r="GM13" t="e">
        <f>AND('WJP Rule of Law Index 2012-2013'!Q65,"AAAAAG/y78I=")</f>
        <v>#VALUE!</v>
      </c>
      <c r="GN13" t="e">
        <f>AND('WJP Rule of Law Index 2012-2013'!R65,"AAAAAG/y78M=")</f>
        <v>#VALUE!</v>
      </c>
      <c r="GO13" t="e">
        <f>AND('WJP Rule of Law Index 2012-2013'!S65,"AAAAAG/y78Q=")</f>
        <v>#VALUE!</v>
      </c>
      <c r="GP13" t="e">
        <f>AND('WJP Rule of Law Index 2012-2013'!T65,"AAAAAG/y78U=")</f>
        <v>#VALUE!</v>
      </c>
      <c r="GQ13" t="e">
        <f>AND('WJP Rule of Law Index 2012-2013'!U65,"AAAAAG/y78Y=")</f>
        <v>#VALUE!</v>
      </c>
      <c r="GR13" t="e">
        <f>AND('WJP Rule of Law Index 2012-2013'!V65,"AAAAAG/y78c=")</f>
        <v>#VALUE!</v>
      </c>
      <c r="GS13" t="e">
        <f>AND('WJP Rule of Law Index 2012-2013'!W65,"AAAAAG/y78g=")</f>
        <v>#VALUE!</v>
      </c>
      <c r="GT13" t="e">
        <f>AND('WJP Rule of Law Index 2012-2013'!X65,"AAAAAG/y78k=")</f>
        <v>#VALUE!</v>
      </c>
      <c r="GU13" t="e">
        <f>AND('WJP Rule of Law Index 2012-2013'!Y65,"AAAAAG/y78o=")</f>
        <v>#VALUE!</v>
      </c>
      <c r="GV13" t="e">
        <f>AND('WJP Rule of Law Index 2012-2013'!Z65,"AAAAAG/y78s=")</f>
        <v>#VALUE!</v>
      </c>
      <c r="GW13" t="e">
        <f>AND('WJP Rule of Law Index 2012-2013'!AA65,"AAAAAG/y78w=")</f>
        <v>#VALUE!</v>
      </c>
      <c r="GX13" t="e">
        <f>AND('WJP Rule of Law Index 2012-2013'!AB65,"AAAAAG/y780=")</f>
        <v>#VALUE!</v>
      </c>
      <c r="GY13" t="e">
        <f>AND('WJP Rule of Law Index 2012-2013'!AC65,"AAAAAG/y784=")</f>
        <v>#VALUE!</v>
      </c>
      <c r="GZ13" t="e">
        <f>AND('WJP Rule of Law Index 2012-2013'!AD65,"AAAAAG/y788=")</f>
        <v>#VALUE!</v>
      </c>
      <c r="HA13" t="e">
        <f>AND('WJP Rule of Law Index 2012-2013'!AE65,"AAAAAG/y79A=")</f>
        <v>#VALUE!</v>
      </c>
      <c r="HB13" t="e">
        <f>AND('WJP Rule of Law Index 2012-2013'!AF65,"AAAAAG/y79E=")</f>
        <v>#VALUE!</v>
      </c>
      <c r="HC13" t="e">
        <f>AND('WJP Rule of Law Index 2012-2013'!AG65,"AAAAAG/y79I=")</f>
        <v>#VALUE!</v>
      </c>
      <c r="HD13" t="e">
        <f>AND('WJP Rule of Law Index 2012-2013'!#REF!,"AAAAAG/y79M=")</f>
        <v>#REF!</v>
      </c>
      <c r="HE13" t="e">
        <f>AND('WJP Rule of Law Index 2012-2013'!#REF!,"AAAAAG/y79Q=")</f>
        <v>#REF!</v>
      </c>
      <c r="HF13" t="e">
        <f>AND('WJP Rule of Law Index 2012-2013'!AH65,"AAAAAG/y79U=")</f>
        <v>#VALUE!</v>
      </c>
      <c r="HG13" t="e">
        <f>AND('WJP Rule of Law Index 2012-2013'!AI65,"AAAAAG/y79Y=")</f>
        <v>#VALUE!</v>
      </c>
      <c r="HH13" t="e">
        <f>AND('WJP Rule of Law Index 2012-2013'!AJ65,"AAAAAG/y79c=")</f>
        <v>#VALUE!</v>
      </c>
      <c r="HI13" t="e">
        <f>AND('WJP Rule of Law Index 2012-2013'!AK65,"AAAAAG/y79g=")</f>
        <v>#VALUE!</v>
      </c>
      <c r="HJ13" t="e">
        <f>AND('WJP Rule of Law Index 2012-2013'!AL65,"AAAAAG/y79k=")</f>
        <v>#VALUE!</v>
      </c>
      <c r="HK13" t="e">
        <f>AND('WJP Rule of Law Index 2012-2013'!AM65,"AAAAAG/y79o=")</f>
        <v>#VALUE!</v>
      </c>
      <c r="HL13" t="e">
        <f>AND('WJP Rule of Law Index 2012-2013'!AN65,"AAAAAG/y79s=")</f>
        <v>#VALUE!</v>
      </c>
      <c r="HM13" t="e">
        <f>AND('WJP Rule of Law Index 2012-2013'!AO65,"AAAAAG/y79w=")</f>
        <v>#VALUE!</v>
      </c>
      <c r="HN13" t="e">
        <f>AND('WJP Rule of Law Index 2012-2013'!AP65,"AAAAAG/y790=")</f>
        <v>#VALUE!</v>
      </c>
      <c r="HO13" t="e">
        <f>AND('WJP Rule of Law Index 2012-2013'!AQ65,"AAAAAG/y794=")</f>
        <v>#VALUE!</v>
      </c>
      <c r="HP13" t="e">
        <f>AND('WJP Rule of Law Index 2012-2013'!AR65,"AAAAAG/y798=")</f>
        <v>#VALUE!</v>
      </c>
      <c r="HQ13" t="e">
        <f>AND('WJP Rule of Law Index 2012-2013'!AS65,"AAAAAG/y7+A=")</f>
        <v>#VALUE!</v>
      </c>
      <c r="HR13" t="e">
        <f>AND('WJP Rule of Law Index 2012-2013'!AT65,"AAAAAG/y7+E=")</f>
        <v>#VALUE!</v>
      </c>
      <c r="HS13">
        <f>IF('WJP Rule of Law Index 2012-2013'!66:66,"AAAAAG/y7+I=",0)</f>
        <v>0</v>
      </c>
      <c r="HT13" t="e">
        <f>AND('WJP Rule of Law Index 2012-2013'!A66,"AAAAAG/y7+M=")</f>
        <v>#VALUE!</v>
      </c>
      <c r="HU13" t="e">
        <f>AND('WJP Rule of Law Index 2012-2013'!B66,"AAAAAG/y7+Q=")</f>
        <v>#VALUE!</v>
      </c>
      <c r="HV13" t="e">
        <f>AND('WJP Rule of Law Index 2012-2013'!#REF!,"AAAAAG/y7+U=")</f>
        <v>#REF!</v>
      </c>
      <c r="HW13" t="e">
        <f>AND('WJP Rule of Law Index 2012-2013'!C66,"AAAAAG/y7+Y=")</f>
        <v>#VALUE!</v>
      </c>
      <c r="HX13" t="e">
        <f>AND('WJP Rule of Law Index 2012-2013'!#REF!,"AAAAAG/y7+c=")</f>
        <v>#REF!</v>
      </c>
      <c r="HY13" t="e">
        <f>AND('WJP Rule of Law Index 2012-2013'!D66,"AAAAAG/y7+g=")</f>
        <v>#VALUE!</v>
      </c>
      <c r="HZ13" t="e">
        <f>AND('WJP Rule of Law Index 2012-2013'!E66,"AAAAAG/y7+k=")</f>
        <v>#VALUE!</v>
      </c>
      <c r="IA13" t="e">
        <f>AND('WJP Rule of Law Index 2012-2013'!F66,"AAAAAG/y7+o=")</f>
        <v>#VALUE!</v>
      </c>
      <c r="IB13" t="e">
        <f>AND('WJP Rule of Law Index 2012-2013'!G66,"AAAAAG/y7+s=")</f>
        <v>#VALUE!</v>
      </c>
      <c r="IC13" t="e">
        <f>AND('WJP Rule of Law Index 2012-2013'!H66,"AAAAAG/y7+w=")</f>
        <v>#VALUE!</v>
      </c>
      <c r="ID13" t="e">
        <f>AND('WJP Rule of Law Index 2012-2013'!I66,"AAAAAG/y7+0=")</f>
        <v>#VALUE!</v>
      </c>
      <c r="IE13" t="e">
        <f>AND('WJP Rule of Law Index 2012-2013'!J66,"AAAAAG/y7+4=")</f>
        <v>#VALUE!</v>
      </c>
      <c r="IF13" t="e">
        <f>AND('WJP Rule of Law Index 2012-2013'!K66,"AAAAAG/y7+8=")</f>
        <v>#VALUE!</v>
      </c>
      <c r="IG13" t="e">
        <f>AND('WJP Rule of Law Index 2012-2013'!#REF!,"AAAAAG/y7/A=")</f>
        <v>#REF!</v>
      </c>
      <c r="IH13" t="e">
        <f>AND('WJP Rule of Law Index 2012-2013'!#REF!,"AAAAAG/y7/E=")</f>
        <v>#REF!</v>
      </c>
      <c r="II13" t="e">
        <f>AND('WJP Rule of Law Index 2012-2013'!#REF!,"AAAAAG/y7/I=")</f>
        <v>#REF!</v>
      </c>
      <c r="IJ13" t="e">
        <f>AND('WJP Rule of Law Index 2012-2013'!P66,"AAAAAG/y7/M=")</f>
        <v>#VALUE!</v>
      </c>
      <c r="IK13" t="e">
        <f>AND('WJP Rule of Law Index 2012-2013'!Q66,"AAAAAG/y7/Q=")</f>
        <v>#VALUE!</v>
      </c>
      <c r="IL13" t="e">
        <f>AND('WJP Rule of Law Index 2012-2013'!R66,"AAAAAG/y7/U=")</f>
        <v>#VALUE!</v>
      </c>
      <c r="IM13" t="e">
        <f>AND('WJP Rule of Law Index 2012-2013'!S66,"AAAAAG/y7/Y=")</f>
        <v>#VALUE!</v>
      </c>
      <c r="IN13" t="e">
        <f>AND('WJP Rule of Law Index 2012-2013'!T66,"AAAAAG/y7/c=")</f>
        <v>#VALUE!</v>
      </c>
      <c r="IO13" t="e">
        <f>AND('WJP Rule of Law Index 2012-2013'!U66,"AAAAAG/y7/g=")</f>
        <v>#VALUE!</v>
      </c>
      <c r="IP13" t="e">
        <f>AND('WJP Rule of Law Index 2012-2013'!V66,"AAAAAG/y7/k=")</f>
        <v>#VALUE!</v>
      </c>
      <c r="IQ13" t="e">
        <f>AND('WJP Rule of Law Index 2012-2013'!W66,"AAAAAG/y7/o=")</f>
        <v>#VALUE!</v>
      </c>
      <c r="IR13" t="e">
        <f>AND('WJP Rule of Law Index 2012-2013'!X66,"AAAAAG/y7/s=")</f>
        <v>#VALUE!</v>
      </c>
      <c r="IS13" t="e">
        <f>AND('WJP Rule of Law Index 2012-2013'!Y66,"AAAAAG/y7/w=")</f>
        <v>#VALUE!</v>
      </c>
      <c r="IT13" t="e">
        <f>AND('WJP Rule of Law Index 2012-2013'!Z66,"AAAAAG/y7/0=")</f>
        <v>#VALUE!</v>
      </c>
      <c r="IU13" t="e">
        <f>AND('WJP Rule of Law Index 2012-2013'!AA66,"AAAAAG/y7/4=")</f>
        <v>#VALUE!</v>
      </c>
      <c r="IV13" t="e">
        <f>AND('WJP Rule of Law Index 2012-2013'!AB66,"AAAAAG/y7/8=")</f>
        <v>#VALUE!</v>
      </c>
    </row>
    <row r="14" spans="1:256" ht="15">
      <c r="A14" t="e">
        <f>AND('WJP Rule of Law Index 2012-2013'!AC66,"AAAAAEm9zQA=")</f>
        <v>#VALUE!</v>
      </c>
      <c r="B14" t="e">
        <f>AND('WJP Rule of Law Index 2012-2013'!AD66,"AAAAAEm9zQE=")</f>
        <v>#VALUE!</v>
      </c>
      <c r="C14" t="e">
        <f>AND('WJP Rule of Law Index 2012-2013'!AE66,"AAAAAEm9zQI=")</f>
        <v>#VALUE!</v>
      </c>
      <c r="D14" t="e">
        <f>AND('WJP Rule of Law Index 2012-2013'!AF66,"AAAAAEm9zQM=")</f>
        <v>#VALUE!</v>
      </c>
      <c r="E14" t="e">
        <f>AND('WJP Rule of Law Index 2012-2013'!AG66,"AAAAAEm9zQQ=")</f>
        <v>#VALUE!</v>
      </c>
      <c r="F14" t="e">
        <f>AND('WJP Rule of Law Index 2012-2013'!#REF!,"AAAAAEm9zQU=")</f>
        <v>#REF!</v>
      </c>
      <c r="G14" t="e">
        <f>AND('WJP Rule of Law Index 2012-2013'!#REF!,"AAAAAEm9zQY=")</f>
        <v>#REF!</v>
      </c>
      <c r="H14" t="e">
        <f>AND('WJP Rule of Law Index 2012-2013'!AH66,"AAAAAEm9zQc=")</f>
        <v>#VALUE!</v>
      </c>
      <c r="I14" t="e">
        <f>AND('WJP Rule of Law Index 2012-2013'!AI66,"AAAAAEm9zQg=")</f>
        <v>#VALUE!</v>
      </c>
      <c r="J14" t="e">
        <f>AND('WJP Rule of Law Index 2012-2013'!AJ66,"AAAAAEm9zQk=")</f>
        <v>#VALUE!</v>
      </c>
      <c r="K14" t="e">
        <f>AND('WJP Rule of Law Index 2012-2013'!AK66,"AAAAAEm9zQo=")</f>
        <v>#VALUE!</v>
      </c>
      <c r="L14" t="e">
        <f>AND('WJP Rule of Law Index 2012-2013'!AL66,"AAAAAEm9zQs=")</f>
        <v>#VALUE!</v>
      </c>
      <c r="M14" t="e">
        <f>AND('WJP Rule of Law Index 2012-2013'!AM66,"AAAAAEm9zQw=")</f>
        <v>#VALUE!</v>
      </c>
      <c r="N14" t="e">
        <f>AND('WJP Rule of Law Index 2012-2013'!AN66,"AAAAAEm9zQ0=")</f>
        <v>#VALUE!</v>
      </c>
      <c r="O14" t="e">
        <f>AND('WJP Rule of Law Index 2012-2013'!AO66,"AAAAAEm9zQ4=")</f>
        <v>#VALUE!</v>
      </c>
      <c r="P14" t="e">
        <f>AND('WJP Rule of Law Index 2012-2013'!AP66,"AAAAAEm9zQ8=")</f>
        <v>#VALUE!</v>
      </c>
      <c r="Q14" t="e">
        <f>AND('WJP Rule of Law Index 2012-2013'!AQ66,"AAAAAEm9zRA=")</f>
        <v>#VALUE!</v>
      </c>
      <c r="R14" t="e">
        <f>AND('WJP Rule of Law Index 2012-2013'!AR66,"AAAAAEm9zRE=")</f>
        <v>#VALUE!</v>
      </c>
      <c r="S14" t="e">
        <f>AND('WJP Rule of Law Index 2012-2013'!AS66,"AAAAAEm9zRI=")</f>
        <v>#VALUE!</v>
      </c>
      <c r="T14" t="e">
        <f>AND('WJP Rule of Law Index 2012-2013'!AT66,"AAAAAEm9zRM=")</f>
        <v>#VALUE!</v>
      </c>
      <c r="U14" t="str">
        <f>IF('WJP Rule of Law Index 2012-2013'!67:67,"AAAAAEm9zRQ=",0)</f>
        <v>AAAAAEm9zRQ=</v>
      </c>
      <c r="V14" t="e">
        <f>AND('WJP Rule of Law Index 2012-2013'!A67,"AAAAAEm9zRU=")</f>
        <v>#VALUE!</v>
      </c>
      <c r="W14" t="e">
        <f>AND('WJP Rule of Law Index 2012-2013'!B67,"AAAAAEm9zRY=")</f>
        <v>#VALUE!</v>
      </c>
      <c r="X14" t="e">
        <f>AND('WJP Rule of Law Index 2012-2013'!#REF!,"AAAAAEm9zRc=")</f>
        <v>#REF!</v>
      </c>
      <c r="Y14" t="e">
        <f>AND('WJP Rule of Law Index 2012-2013'!C67,"AAAAAEm9zRg=")</f>
        <v>#VALUE!</v>
      </c>
      <c r="Z14" t="e">
        <f>AND('WJP Rule of Law Index 2012-2013'!#REF!,"AAAAAEm9zRk=")</f>
        <v>#REF!</v>
      </c>
      <c r="AA14" t="e">
        <f>AND('WJP Rule of Law Index 2012-2013'!D67,"AAAAAEm9zRo=")</f>
        <v>#VALUE!</v>
      </c>
      <c r="AB14" t="e">
        <f>AND('WJP Rule of Law Index 2012-2013'!E67,"AAAAAEm9zRs=")</f>
        <v>#VALUE!</v>
      </c>
      <c r="AC14" t="e">
        <f>AND('WJP Rule of Law Index 2012-2013'!F67,"AAAAAEm9zRw=")</f>
        <v>#VALUE!</v>
      </c>
      <c r="AD14" t="e">
        <f>AND('WJP Rule of Law Index 2012-2013'!G67,"AAAAAEm9zR0=")</f>
        <v>#VALUE!</v>
      </c>
      <c r="AE14" t="e">
        <f>AND('WJP Rule of Law Index 2012-2013'!H67,"AAAAAEm9zR4=")</f>
        <v>#VALUE!</v>
      </c>
      <c r="AF14" t="e">
        <f>AND('WJP Rule of Law Index 2012-2013'!I67,"AAAAAEm9zR8=")</f>
        <v>#VALUE!</v>
      </c>
      <c r="AG14" t="e">
        <f>AND('WJP Rule of Law Index 2012-2013'!J67,"AAAAAEm9zSA=")</f>
        <v>#VALUE!</v>
      </c>
      <c r="AH14" t="e">
        <f>AND('WJP Rule of Law Index 2012-2013'!K67,"AAAAAEm9zSE=")</f>
        <v>#VALUE!</v>
      </c>
      <c r="AI14" t="e">
        <f>AND('WJP Rule of Law Index 2012-2013'!#REF!,"AAAAAEm9zSI=")</f>
        <v>#REF!</v>
      </c>
      <c r="AJ14" t="e">
        <f>AND('WJP Rule of Law Index 2012-2013'!#REF!,"AAAAAEm9zSM=")</f>
        <v>#REF!</v>
      </c>
      <c r="AK14" t="e">
        <f>AND('WJP Rule of Law Index 2012-2013'!#REF!,"AAAAAEm9zSQ=")</f>
        <v>#REF!</v>
      </c>
      <c r="AL14" t="e">
        <f>AND('WJP Rule of Law Index 2012-2013'!P67,"AAAAAEm9zSU=")</f>
        <v>#VALUE!</v>
      </c>
      <c r="AM14" t="e">
        <f>AND('WJP Rule of Law Index 2012-2013'!Q67,"AAAAAEm9zSY=")</f>
        <v>#VALUE!</v>
      </c>
      <c r="AN14" t="e">
        <f>AND('WJP Rule of Law Index 2012-2013'!R67,"AAAAAEm9zSc=")</f>
        <v>#VALUE!</v>
      </c>
      <c r="AO14" t="e">
        <f>AND('WJP Rule of Law Index 2012-2013'!S67,"AAAAAEm9zSg=")</f>
        <v>#VALUE!</v>
      </c>
      <c r="AP14" t="e">
        <f>AND('WJP Rule of Law Index 2012-2013'!T67,"AAAAAEm9zSk=")</f>
        <v>#VALUE!</v>
      </c>
      <c r="AQ14" t="e">
        <f>AND('WJP Rule of Law Index 2012-2013'!U67,"AAAAAEm9zSo=")</f>
        <v>#VALUE!</v>
      </c>
      <c r="AR14" t="e">
        <f>AND('WJP Rule of Law Index 2012-2013'!V67,"AAAAAEm9zSs=")</f>
        <v>#VALUE!</v>
      </c>
      <c r="AS14" t="e">
        <f>AND('WJP Rule of Law Index 2012-2013'!W67,"AAAAAEm9zSw=")</f>
        <v>#VALUE!</v>
      </c>
      <c r="AT14" t="e">
        <f>AND('WJP Rule of Law Index 2012-2013'!X67,"AAAAAEm9zS0=")</f>
        <v>#VALUE!</v>
      </c>
      <c r="AU14" t="e">
        <f>AND('WJP Rule of Law Index 2012-2013'!Y67,"AAAAAEm9zS4=")</f>
        <v>#VALUE!</v>
      </c>
      <c r="AV14" t="e">
        <f>AND('WJP Rule of Law Index 2012-2013'!Z67,"AAAAAEm9zS8=")</f>
        <v>#VALUE!</v>
      </c>
      <c r="AW14" t="e">
        <f>AND('WJP Rule of Law Index 2012-2013'!AA67,"AAAAAEm9zTA=")</f>
        <v>#VALUE!</v>
      </c>
      <c r="AX14" t="e">
        <f>AND('WJP Rule of Law Index 2012-2013'!AB67,"AAAAAEm9zTE=")</f>
        <v>#VALUE!</v>
      </c>
      <c r="AY14" t="e">
        <f>AND('WJP Rule of Law Index 2012-2013'!AC67,"AAAAAEm9zTI=")</f>
        <v>#VALUE!</v>
      </c>
      <c r="AZ14" t="e">
        <f>AND('WJP Rule of Law Index 2012-2013'!AD67,"AAAAAEm9zTM=")</f>
        <v>#VALUE!</v>
      </c>
      <c r="BA14" t="e">
        <f>AND('WJP Rule of Law Index 2012-2013'!AE67,"AAAAAEm9zTQ=")</f>
        <v>#VALUE!</v>
      </c>
      <c r="BB14" t="e">
        <f>AND('WJP Rule of Law Index 2012-2013'!AF67,"AAAAAEm9zTU=")</f>
        <v>#VALUE!</v>
      </c>
      <c r="BC14" t="e">
        <f>AND('WJP Rule of Law Index 2012-2013'!AG67,"AAAAAEm9zTY=")</f>
        <v>#VALUE!</v>
      </c>
      <c r="BD14" t="e">
        <f>AND('WJP Rule of Law Index 2012-2013'!#REF!,"AAAAAEm9zTc=")</f>
        <v>#REF!</v>
      </c>
      <c r="BE14" t="e">
        <f>AND('WJP Rule of Law Index 2012-2013'!#REF!,"AAAAAEm9zTg=")</f>
        <v>#REF!</v>
      </c>
      <c r="BF14" t="e">
        <f>AND('WJP Rule of Law Index 2012-2013'!AH67,"AAAAAEm9zTk=")</f>
        <v>#VALUE!</v>
      </c>
      <c r="BG14" t="e">
        <f>AND('WJP Rule of Law Index 2012-2013'!AI67,"AAAAAEm9zTo=")</f>
        <v>#VALUE!</v>
      </c>
      <c r="BH14" t="e">
        <f>AND('WJP Rule of Law Index 2012-2013'!AJ67,"AAAAAEm9zTs=")</f>
        <v>#VALUE!</v>
      </c>
      <c r="BI14" t="e">
        <f>AND('WJP Rule of Law Index 2012-2013'!AK67,"AAAAAEm9zTw=")</f>
        <v>#VALUE!</v>
      </c>
      <c r="BJ14" t="e">
        <f>AND('WJP Rule of Law Index 2012-2013'!AL67,"AAAAAEm9zT0=")</f>
        <v>#VALUE!</v>
      </c>
      <c r="BK14" t="e">
        <f>AND('WJP Rule of Law Index 2012-2013'!AM67,"AAAAAEm9zT4=")</f>
        <v>#VALUE!</v>
      </c>
      <c r="BL14" t="e">
        <f>AND('WJP Rule of Law Index 2012-2013'!AN67,"AAAAAEm9zT8=")</f>
        <v>#VALUE!</v>
      </c>
      <c r="BM14" t="e">
        <f>AND('WJP Rule of Law Index 2012-2013'!AO67,"AAAAAEm9zUA=")</f>
        <v>#VALUE!</v>
      </c>
      <c r="BN14" t="e">
        <f>AND('WJP Rule of Law Index 2012-2013'!AP67,"AAAAAEm9zUE=")</f>
        <v>#VALUE!</v>
      </c>
      <c r="BO14" t="e">
        <f>AND('WJP Rule of Law Index 2012-2013'!AQ67,"AAAAAEm9zUI=")</f>
        <v>#VALUE!</v>
      </c>
      <c r="BP14" t="e">
        <f>AND('WJP Rule of Law Index 2012-2013'!AR67,"AAAAAEm9zUM=")</f>
        <v>#VALUE!</v>
      </c>
      <c r="BQ14" t="e">
        <f>AND('WJP Rule of Law Index 2012-2013'!AS67,"AAAAAEm9zUQ=")</f>
        <v>#VALUE!</v>
      </c>
      <c r="BR14" t="e">
        <f>AND('WJP Rule of Law Index 2012-2013'!AT67,"AAAAAEm9zUU=")</f>
        <v>#VALUE!</v>
      </c>
      <c r="BS14">
        <f>IF('WJP Rule of Law Index 2012-2013'!68:68,"AAAAAEm9zUY=",0)</f>
        <v>0</v>
      </c>
      <c r="BT14" t="e">
        <f>AND('WJP Rule of Law Index 2012-2013'!A68,"AAAAAEm9zUc=")</f>
        <v>#VALUE!</v>
      </c>
      <c r="BU14" t="e">
        <f>AND('WJP Rule of Law Index 2012-2013'!B68,"AAAAAEm9zUg=")</f>
        <v>#VALUE!</v>
      </c>
      <c r="BV14" t="e">
        <f>AND('WJP Rule of Law Index 2012-2013'!#REF!,"AAAAAEm9zUk=")</f>
        <v>#REF!</v>
      </c>
      <c r="BW14" t="e">
        <f>AND('WJP Rule of Law Index 2012-2013'!C68,"AAAAAEm9zUo=")</f>
        <v>#VALUE!</v>
      </c>
      <c r="BX14" t="e">
        <f>AND('WJP Rule of Law Index 2012-2013'!#REF!,"AAAAAEm9zUs=")</f>
        <v>#REF!</v>
      </c>
      <c r="BY14" t="e">
        <f>AND('WJP Rule of Law Index 2012-2013'!D68,"AAAAAEm9zUw=")</f>
        <v>#VALUE!</v>
      </c>
      <c r="BZ14" t="e">
        <f>AND('WJP Rule of Law Index 2012-2013'!E68,"AAAAAEm9zU0=")</f>
        <v>#VALUE!</v>
      </c>
      <c r="CA14" t="e">
        <f>AND('WJP Rule of Law Index 2012-2013'!F68,"AAAAAEm9zU4=")</f>
        <v>#VALUE!</v>
      </c>
      <c r="CB14" t="e">
        <f>AND('WJP Rule of Law Index 2012-2013'!G68,"AAAAAEm9zU8=")</f>
        <v>#VALUE!</v>
      </c>
      <c r="CC14" t="e">
        <f>AND('WJP Rule of Law Index 2012-2013'!H68,"AAAAAEm9zVA=")</f>
        <v>#VALUE!</v>
      </c>
      <c r="CD14" t="e">
        <f>AND('WJP Rule of Law Index 2012-2013'!I68,"AAAAAEm9zVE=")</f>
        <v>#VALUE!</v>
      </c>
      <c r="CE14" t="e">
        <f>AND('WJP Rule of Law Index 2012-2013'!J68,"AAAAAEm9zVI=")</f>
        <v>#VALUE!</v>
      </c>
      <c r="CF14" t="e">
        <f>AND('WJP Rule of Law Index 2012-2013'!K68,"AAAAAEm9zVM=")</f>
        <v>#VALUE!</v>
      </c>
      <c r="CG14" t="e">
        <f>AND('WJP Rule of Law Index 2012-2013'!#REF!,"AAAAAEm9zVQ=")</f>
        <v>#REF!</v>
      </c>
      <c r="CH14" t="e">
        <f>AND('WJP Rule of Law Index 2012-2013'!#REF!,"AAAAAEm9zVU=")</f>
        <v>#REF!</v>
      </c>
      <c r="CI14" t="e">
        <f>AND('WJP Rule of Law Index 2012-2013'!#REF!,"AAAAAEm9zVY=")</f>
        <v>#REF!</v>
      </c>
      <c r="CJ14" t="e">
        <f>AND('WJP Rule of Law Index 2012-2013'!P68,"AAAAAEm9zVc=")</f>
        <v>#VALUE!</v>
      </c>
      <c r="CK14" t="e">
        <f>AND('WJP Rule of Law Index 2012-2013'!Q68,"AAAAAEm9zVg=")</f>
        <v>#VALUE!</v>
      </c>
      <c r="CL14" t="e">
        <f>AND('WJP Rule of Law Index 2012-2013'!R68,"AAAAAEm9zVk=")</f>
        <v>#VALUE!</v>
      </c>
      <c r="CM14" t="e">
        <f>AND('WJP Rule of Law Index 2012-2013'!S68,"AAAAAEm9zVo=")</f>
        <v>#VALUE!</v>
      </c>
      <c r="CN14" t="e">
        <f>AND('WJP Rule of Law Index 2012-2013'!T68,"AAAAAEm9zVs=")</f>
        <v>#VALUE!</v>
      </c>
      <c r="CO14" t="e">
        <f>AND('WJP Rule of Law Index 2012-2013'!U68,"AAAAAEm9zVw=")</f>
        <v>#VALUE!</v>
      </c>
      <c r="CP14" t="e">
        <f>AND('WJP Rule of Law Index 2012-2013'!V68,"AAAAAEm9zV0=")</f>
        <v>#VALUE!</v>
      </c>
      <c r="CQ14" t="e">
        <f>AND('WJP Rule of Law Index 2012-2013'!W68,"AAAAAEm9zV4=")</f>
        <v>#VALUE!</v>
      </c>
      <c r="CR14" t="e">
        <f>AND('WJP Rule of Law Index 2012-2013'!X68,"AAAAAEm9zV8=")</f>
        <v>#VALUE!</v>
      </c>
      <c r="CS14" t="e">
        <f>AND('WJP Rule of Law Index 2012-2013'!Y68,"AAAAAEm9zWA=")</f>
        <v>#VALUE!</v>
      </c>
      <c r="CT14" t="e">
        <f>AND('WJP Rule of Law Index 2012-2013'!Z68,"AAAAAEm9zWE=")</f>
        <v>#VALUE!</v>
      </c>
      <c r="CU14" t="e">
        <f>AND('WJP Rule of Law Index 2012-2013'!AA68,"AAAAAEm9zWI=")</f>
        <v>#VALUE!</v>
      </c>
      <c r="CV14" t="e">
        <f>AND('WJP Rule of Law Index 2012-2013'!AB68,"AAAAAEm9zWM=")</f>
        <v>#VALUE!</v>
      </c>
      <c r="CW14" t="e">
        <f>AND('WJP Rule of Law Index 2012-2013'!AC68,"AAAAAEm9zWQ=")</f>
        <v>#VALUE!</v>
      </c>
      <c r="CX14" t="e">
        <f>AND('WJP Rule of Law Index 2012-2013'!AD68,"AAAAAEm9zWU=")</f>
        <v>#VALUE!</v>
      </c>
      <c r="CY14" t="e">
        <f>AND('WJP Rule of Law Index 2012-2013'!AE68,"AAAAAEm9zWY=")</f>
        <v>#VALUE!</v>
      </c>
      <c r="CZ14" t="e">
        <f>AND('WJP Rule of Law Index 2012-2013'!AF68,"AAAAAEm9zWc=")</f>
        <v>#VALUE!</v>
      </c>
      <c r="DA14" t="e">
        <f>AND('WJP Rule of Law Index 2012-2013'!AG68,"AAAAAEm9zWg=")</f>
        <v>#VALUE!</v>
      </c>
      <c r="DB14" t="e">
        <f>AND('WJP Rule of Law Index 2012-2013'!#REF!,"AAAAAEm9zWk=")</f>
        <v>#REF!</v>
      </c>
      <c r="DC14" t="e">
        <f>AND('WJP Rule of Law Index 2012-2013'!#REF!,"AAAAAEm9zWo=")</f>
        <v>#REF!</v>
      </c>
      <c r="DD14" t="e">
        <f>AND('WJP Rule of Law Index 2012-2013'!AH68,"AAAAAEm9zWs=")</f>
        <v>#VALUE!</v>
      </c>
      <c r="DE14" t="e">
        <f>AND('WJP Rule of Law Index 2012-2013'!AI68,"AAAAAEm9zWw=")</f>
        <v>#VALUE!</v>
      </c>
      <c r="DF14" t="e">
        <f>AND('WJP Rule of Law Index 2012-2013'!AJ68,"AAAAAEm9zW0=")</f>
        <v>#VALUE!</v>
      </c>
      <c r="DG14" t="e">
        <f>AND('WJP Rule of Law Index 2012-2013'!AK68,"AAAAAEm9zW4=")</f>
        <v>#VALUE!</v>
      </c>
      <c r="DH14" t="e">
        <f>AND('WJP Rule of Law Index 2012-2013'!AL68,"AAAAAEm9zW8=")</f>
        <v>#VALUE!</v>
      </c>
      <c r="DI14" t="e">
        <f>AND('WJP Rule of Law Index 2012-2013'!AM68,"AAAAAEm9zXA=")</f>
        <v>#VALUE!</v>
      </c>
      <c r="DJ14" t="e">
        <f>AND('WJP Rule of Law Index 2012-2013'!AN68,"AAAAAEm9zXE=")</f>
        <v>#VALUE!</v>
      </c>
      <c r="DK14" t="e">
        <f>AND('WJP Rule of Law Index 2012-2013'!AO68,"AAAAAEm9zXI=")</f>
        <v>#VALUE!</v>
      </c>
      <c r="DL14" t="e">
        <f>AND('WJP Rule of Law Index 2012-2013'!AP68,"AAAAAEm9zXM=")</f>
        <v>#VALUE!</v>
      </c>
      <c r="DM14" t="e">
        <f>AND('WJP Rule of Law Index 2012-2013'!AQ68,"AAAAAEm9zXQ=")</f>
        <v>#VALUE!</v>
      </c>
      <c r="DN14" t="e">
        <f>AND('WJP Rule of Law Index 2012-2013'!AR68,"AAAAAEm9zXU=")</f>
        <v>#VALUE!</v>
      </c>
      <c r="DO14" t="e">
        <f>AND('WJP Rule of Law Index 2012-2013'!AS68,"AAAAAEm9zXY=")</f>
        <v>#VALUE!</v>
      </c>
      <c r="DP14" t="e">
        <f>AND('WJP Rule of Law Index 2012-2013'!AT68,"AAAAAEm9zXc=")</f>
        <v>#VALUE!</v>
      </c>
      <c r="DQ14">
        <f>IF('WJP Rule of Law Index 2012-2013'!69:69,"AAAAAEm9zXg=",0)</f>
        <v>0</v>
      </c>
      <c r="DR14" t="e">
        <f>AND('WJP Rule of Law Index 2012-2013'!A69,"AAAAAEm9zXk=")</f>
        <v>#VALUE!</v>
      </c>
      <c r="DS14" t="e">
        <f>AND('WJP Rule of Law Index 2012-2013'!B69,"AAAAAEm9zXo=")</f>
        <v>#VALUE!</v>
      </c>
      <c r="DT14" t="e">
        <f>AND('WJP Rule of Law Index 2012-2013'!#REF!,"AAAAAEm9zXs=")</f>
        <v>#REF!</v>
      </c>
      <c r="DU14" t="e">
        <f>AND('WJP Rule of Law Index 2012-2013'!C69,"AAAAAEm9zXw=")</f>
        <v>#VALUE!</v>
      </c>
      <c r="DV14" t="e">
        <f>AND('WJP Rule of Law Index 2012-2013'!#REF!,"AAAAAEm9zX0=")</f>
        <v>#REF!</v>
      </c>
      <c r="DW14" t="e">
        <f>AND('WJP Rule of Law Index 2012-2013'!D69,"AAAAAEm9zX4=")</f>
        <v>#VALUE!</v>
      </c>
      <c r="DX14" t="e">
        <f>AND('WJP Rule of Law Index 2012-2013'!E69,"AAAAAEm9zX8=")</f>
        <v>#VALUE!</v>
      </c>
      <c r="DY14" t="e">
        <f>AND('WJP Rule of Law Index 2012-2013'!F69,"AAAAAEm9zYA=")</f>
        <v>#VALUE!</v>
      </c>
      <c r="DZ14" t="e">
        <f>AND('WJP Rule of Law Index 2012-2013'!G69,"AAAAAEm9zYE=")</f>
        <v>#VALUE!</v>
      </c>
      <c r="EA14" t="e">
        <f>AND('WJP Rule of Law Index 2012-2013'!H69,"AAAAAEm9zYI=")</f>
        <v>#VALUE!</v>
      </c>
      <c r="EB14" t="e">
        <f>AND('WJP Rule of Law Index 2012-2013'!I69,"AAAAAEm9zYM=")</f>
        <v>#VALUE!</v>
      </c>
      <c r="EC14" t="e">
        <f>AND('WJP Rule of Law Index 2012-2013'!J69,"AAAAAEm9zYQ=")</f>
        <v>#VALUE!</v>
      </c>
      <c r="ED14" t="e">
        <f>AND('WJP Rule of Law Index 2012-2013'!K69,"AAAAAEm9zYU=")</f>
        <v>#VALUE!</v>
      </c>
      <c r="EE14" t="e">
        <f>AND('WJP Rule of Law Index 2012-2013'!#REF!,"AAAAAEm9zYY=")</f>
        <v>#REF!</v>
      </c>
      <c r="EF14" t="e">
        <f>AND('WJP Rule of Law Index 2012-2013'!#REF!,"AAAAAEm9zYc=")</f>
        <v>#REF!</v>
      </c>
      <c r="EG14" t="e">
        <f>AND('WJP Rule of Law Index 2012-2013'!#REF!,"AAAAAEm9zYg=")</f>
        <v>#REF!</v>
      </c>
      <c r="EH14" t="e">
        <f>AND('WJP Rule of Law Index 2012-2013'!P69,"AAAAAEm9zYk=")</f>
        <v>#VALUE!</v>
      </c>
      <c r="EI14" t="e">
        <f>AND('WJP Rule of Law Index 2012-2013'!Q69,"AAAAAEm9zYo=")</f>
        <v>#VALUE!</v>
      </c>
      <c r="EJ14" t="e">
        <f>AND('WJP Rule of Law Index 2012-2013'!R69,"AAAAAEm9zYs=")</f>
        <v>#VALUE!</v>
      </c>
      <c r="EK14" t="e">
        <f>AND('WJP Rule of Law Index 2012-2013'!S69,"AAAAAEm9zYw=")</f>
        <v>#VALUE!</v>
      </c>
      <c r="EL14" t="e">
        <f>AND('WJP Rule of Law Index 2012-2013'!T69,"AAAAAEm9zY0=")</f>
        <v>#VALUE!</v>
      </c>
      <c r="EM14" t="e">
        <f>AND('WJP Rule of Law Index 2012-2013'!U69,"AAAAAEm9zY4=")</f>
        <v>#VALUE!</v>
      </c>
      <c r="EN14" t="e">
        <f>AND('WJP Rule of Law Index 2012-2013'!V69,"AAAAAEm9zY8=")</f>
        <v>#VALUE!</v>
      </c>
      <c r="EO14" t="e">
        <f>AND('WJP Rule of Law Index 2012-2013'!W69,"AAAAAEm9zZA=")</f>
        <v>#VALUE!</v>
      </c>
      <c r="EP14" t="e">
        <f>AND('WJP Rule of Law Index 2012-2013'!X69,"AAAAAEm9zZE=")</f>
        <v>#VALUE!</v>
      </c>
      <c r="EQ14" t="e">
        <f>AND('WJP Rule of Law Index 2012-2013'!Y69,"AAAAAEm9zZI=")</f>
        <v>#VALUE!</v>
      </c>
      <c r="ER14" t="e">
        <f>AND('WJP Rule of Law Index 2012-2013'!Z69,"AAAAAEm9zZM=")</f>
        <v>#VALUE!</v>
      </c>
      <c r="ES14" t="e">
        <f>AND('WJP Rule of Law Index 2012-2013'!AA69,"AAAAAEm9zZQ=")</f>
        <v>#VALUE!</v>
      </c>
      <c r="ET14" t="e">
        <f>AND('WJP Rule of Law Index 2012-2013'!AB69,"AAAAAEm9zZU=")</f>
        <v>#VALUE!</v>
      </c>
      <c r="EU14" t="e">
        <f>AND('WJP Rule of Law Index 2012-2013'!AC69,"AAAAAEm9zZY=")</f>
        <v>#VALUE!</v>
      </c>
      <c r="EV14" t="e">
        <f>AND('WJP Rule of Law Index 2012-2013'!AD69,"AAAAAEm9zZc=")</f>
        <v>#VALUE!</v>
      </c>
      <c r="EW14" t="e">
        <f>AND('WJP Rule of Law Index 2012-2013'!AE69,"AAAAAEm9zZg=")</f>
        <v>#VALUE!</v>
      </c>
      <c r="EX14" t="e">
        <f>AND('WJP Rule of Law Index 2012-2013'!AF69,"AAAAAEm9zZk=")</f>
        <v>#VALUE!</v>
      </c>
      <c r="EY14" t="e">
        <f>AND('WJP Rule of Law Index 2012-2013'!AG69,"AAAAAEm9zZo=")</f>
        <v>#VALUE!</v>
      </c>
      <c r="EZ14" t="e">
        <f>AND('WJP Rule of Law Index 2012-2013'!#REF!,"AAAAAEm9zZs=")</f>
        <v>#REF!</v>
      </c>
      <c r="FA14" t="e">
        <f>AND('WJP Rule of Law Index 2012-2013'!#REF!,"AAAAAEm9zZw=")</f>
        <v>#REF!</v>
      </c>
      <c r="FB14" t="e">
        <f>AND('WJP Rule of Law Index 2012-2013'!AH69,"AAAAAEm9zZ0=")</f>
        <v>#VALUE!</v>
      </c>
      <c r="FC14" t="e">
        <f>AND('WJP Rule of Law Index 2012-2013'!AI69,"AAAAAEm9zZ4=")</f>
        <v>#VALUE!</v>
      </c>
      <c r="FD14" t="e">
        <f>AND('WJP Rule of Law Index 2012-2013'!AJ69,"AAAAAEm9zZ8=")</f>
        <v>#VALUE!</v>
      </c>
      <c r="FE14" t="e">
        <f>AND('WJP Rule of Law Index 2012-2013'!AK69,"AAAAAEm9zaA=")</f>
        <v>#VALUE!</v>
      </c>
      <c r="FF14" t="e">
        <f>AND('WJP Rule of Law Index 2012-2013'!AL69,"AAAAAEm9zaE=")</f>
        <v>#VALUE!</v>
      </c>
      <c r="FG14" t="e">
        <f>AND('WJP Rule of Law Index 2012-2013'!AM69,"AAAAAEm9zaI=")</f>
        <v>#VALUE!</v>
      </c>
      <c r="FH14" t="e">
        <f>AND('WJP Rule of Law Index 2012-2013'!AN69,"AAAAAEm9zaM=")</f>
        <v>#VALUE!</v>
      </c>
      <c r="FI14" t="e">
        <f>AND('WJP Rule of Law Index 2012-2013'!AO69,"AAAAAEm9zaQ=")</f>
        <v>#VALUE!</v>
      </c>
      <c r="FJ14" t="e">
        <f>AND('WJP Rule of Law Index 2012-2013'!AP69,"AAAAAEm9zaU=")</f>
        <v>#VALUE!</v>
      </c>
      <c r="FK14" t="e">
        <f>AND('WJP Rule of Law Index 2012-2013'!AQ69,"AAAAAEm9zaY=")</f>
        <v>#VALUE!</v>
      </c>
      <c r="FL14" t="e">
        <f>AND('WJP Rule of Law Index 2012-2013'!AR69,"AAAAAEm9zac=")</f>
        <v>#VALUE!</v>
      </c>
      <c r="FM14" t="e">
        <f>AND('WJP Rule of Law Index 2012-2013'!AS69,"AAAAAEm9zag=")</f>
        <v>#VALUE!</v>
      </c>
      <c r="FN14" t="e">
        <f>AND('WJP Rule of Law Index 2012-2013'!AT69,"AAAAAEm9zak=")</f>
        <v>#VALUE!</v>
      </c>
      <c r="FO14">
        <f>IF('WJP Rule of Law Index 2012-2013'!70:70,"AAAAAEm9zao=",0)</f>
        <v>0</v>
      </c>
      <c r="FP14" t="e">
        <f>AND('WJP Rule of Law Index 2012-2013'!A70,"AAAAAEm9zas=")</f>
        <v>#VALUE!</v>
      </c>
      <c r="FQ14" t="e">
        <f>AND('WJP Rule of Law Index 2012-2013'!B70,"AAAAAEm9zaw=")</f>
        <v>#VALUE!</v>
      </c>
      <c r="FR14" t="e">
        <f>AND('WJP Rule of Law Index 2012-2013'!#REF!,"AAAAAEm9za0=")</f>
        <v>#REF!</v>
      </c>
      <c r="FS14" t="e">
        <f>AND('WJP Rule of Law Index 2012-2013'!C70,"AAAAAEm9za4=")</f>
        <v>#VALUE!</v>
      </c>
      <c r="FT14" t="e">
        <f>AND('WJP Rule of Law Index 2012-2013'!#REF!,"AAAAAEm9za8=")</f>
        <v>#REF!</v>
      </c>
      <c r="FU14" t="e">
        <f>AND('WJP Rule of Law Index 2012-2013'!D70,"AAAAAEm9zbA=")</f>
        <v>#VALUE!</v>
      </c>
      <c r="FV14" t="e">
        <f>AND('WJP Rule of Law Index 2012-2013'!E70,"AAAAAEm9zbE=")</f>
        <v>#VALUE!</v>
      </c>
      <c r="FW14" t="e">
        <f>AND('WJP Rule of Law Index 2012-2013'!F70,"AAAAAEm9zbI=")</f>
        <v>#VALUE!</v>
      </c>
      <c r="FX14" t="e">
        <f>AND('WJP Rule of Law Index 2012-2013'!G70,"AAAAAEm9zbM=")</f>
        <v>#VALUE!</v>
      </c>
      <c r="FY14" t="e">
        <f>AND('WJP Rule of Law Index 2012-2013'!H70,"AAAAAEm9zbQ=")</f>
        <v>#VALUE!</v>
      </c>
      <c r="FZ14" t="e">
        <f>AND('WJP Rule of Law Index 2012-2013'!I70,"AAAAAEm9zbU=")</f>
        <v>#VALUE!</v>
      </c>
      <c r="GA14" t="e">
        <f>AND('WJP Rule of Law Index 2012-2013'!J70,"AAAAAEm9zbY=")</f>
        <v>#VALUE!</v>
      </c>
      <c r="GB14" t="e">
        <f>AND('WJP Rule of Law Index 2012-2013'!K70,"AAAAAEm9zbc=")</f>
        <v>#VALUE!</v>
      </c>
      <c r="GC14" t="e">
        <f>AND('WJP Rule of Law Index 2012-2013'!#REF!,"AAAAAEm9zbg=")</f>
        <v>#REF!</v>
      </c>
      <c r="GD14" t="e">
        <f>AND('WJP Rule of Law Index 2012-2013'!#REF!,"AAAAAEm9zbk=")</f>
        <v>#REF!</v>
      </c>
      <c r="GE14" t="e">
        <f>AND('WJP Rule of Law Index 2012-2013'!#REF!,"AAAAAEm9zbo=")</f>
        <v>#REF!</v>
      </c>
      <c r="GF14" t="e">
        <f>AND('WJP Rule of Law Index 2012-2013'!P70,"AAAAAEm9zbs=")</f>
        <v>#VALUE!</v>
      </c>
      <c r="GG14" t="e">
        <f>AND('WJP Rule of Law Index 2012-2013'!Q70,"AAAAAEm9zbw=")</f>
        <v>#VALUE!</v>
      </c>
      <c r="GH14" t="e">
        <f>AND('WJP Rule of Law Index 2012-2013'!R70,"AAAAAEm9zb0=")</f>
        <v>#VALUE!</v>
      </c>
      <c r="GI14" t="e">
        <f>AND('WJP Rule of Law Index 2012-2013'!S70,"AAAAAEm9zb4=")</f>
        <v>#VALUE!</v>
      </c>
      <c r="GJ14" t="e">
        <f>AND('WJP Rule of Law Index 2012-2013'!T70,"AAAAAEm9zb8=")</f>
        <v>#VALUE!</v>
      </c>
      <c r="GK14" t="e">
        <f>AND('WJP Rule of Law Index 2012-2013'!U70,"AAAAAEm9zcA=")</f>
        <v>#VALUE!</v>
      </c>
      <c r="GL14" t="e">
        <f>AND('WJP Rule of Law Index 2012-2013'!V70,"AAAAAEm9zcE=")</f>
        <v>#VALUE!</v>
      </c>
      <c r="GM14" t="e">
        <f>AND('WJP Rule of Law Index 2012-2013'!W70,"AAAAAEm9zcI=")</f>
        <v>#VALUE!</v>
      </c>
      <c r="GN14" t="e">
        <f>AND('WJP Rule of Law Index 2012-2013'!X70,"AAAAAEm9zcM=")</f>
        <v>#VALUE!</v>
      </c>
      <c r="GO14" t="e">
        <f>AND('WJP Rule of Law Index 2012-2013'!Y70,"AAAAAEm9zcQ=")</f>
        <v>#VALUE!</v>
      </c>
      <c r="GP14" t="e">
        <f>AND('WJP Rule of Law Index 2012-2013'!Z70,"AAAAAEm9zcU=")</f>
        <v>#VALUE!</v>
      </c>
      <c r="GQ14" t="e">
        <f>AND('WJP Rule of Law Index 2012-2013'!AA70,"AAAAAEm9zcY=")</f>
        <v>#VALUE!</v>
      </c>
      <c r="GR14" t="e">
        <f>AND('WJP Rule of Law Index 2012-2013'!AB70,"AAAAAEm9zcc=")</f>
        <v>#VALUE!</v>
      </c>
      <c r="GS14" t="e">
        <f>AND('WJP Rule of Law Index 2012-2013'!AC70,"AAAAAEm9zcg=")</f>
        <v>#VALUE!</v>
      </c>
      <c r="GT14" t="e">
        <f>AND('WJP Rule of Law Index 2012-2013'!AD70,"AAAAAEm9zck=")</f>
        <v>#VALUE!</v>
      </c>
      <c r="GU14" t="e">
        <f>AND('WJP Rule of Law Index 2012-2013'!AE70,"AAAAAEm9zco=")</f>
        <v>#VALUE!</v>
      </c>
      <c r="GV14" t="e">
        <f>AND('WJP Rule of Law Index 2012-2013'!AF70,"AAAAAEm9zcs=")</f>
        <v>#VALUE!</v>
      </c>
      <c r="GW14" t="e">
        <f>AND('WJP Rule of Law Index 2012-2013'!AG70,"AAAAAEm9zcw=")</f>
        <v>#VALUE!</v>
      </c>
      <c r="GX14" t="e">
        <f>AND('WJP Rule of Law Index 2012-2013'!#REF!,"AAAAAEm9zc0=")</f>
        <v>#REF!</v>
      </c>
      <c r="GY14" t="e">
        <f>AND('WJP Rule of Law Index 2012-2013'!#REF!,"AAAAAEm9zc4=")</f>
        <v>#REF!</v>
      </c>
      <c r="GZ14" t="e">
        <f>AND('WJP Rule of Law Index 2012-2013'!AH70,"AAAAAEm9zc8=")</f>
        <v>#VALUE!</v>
      </c>
      <c r="HA14" t="e">
        <f>AND('WJP Rule of Law Index 2012-2013'!AI70,"AAAAAEm9zdA=")</f>
        <v>#VALUE!</v>
      </c>
      <c r="HB14" t="e">
        <f>AND('WJP Rule of Law Index 2012-2013'!AJ70,"AAAAAEm9zdE=")</f>
        <v>#VALUE!</v>
      </c>
      <c r="HC14" t="e">
        <f>AND('WJP Rule of Law Index 2012-2013'!AK70,"AAAAAEm9zdI=")</f>
        <v>#VALUE!</v>
      </c>
      <c r="HD14" t="e">
        <f>AND('WJP Rule of Law Index 2012-2013'!AL70,"AAAAAEm9zdM=")</f>
        <v>#VALUE!</v>
      </c>
      <c r="HE14" t="e">
        <f>AND('WJP Rule of Law Index 2012-2013'!AM70,"AAAAAEm9zdQ=")</f>
        <v>#VALUE!</v>
      </c>
      <c r="HF14" t="e">
        <f>AND('WJP Rule of Law Index 2012-2013'!AN70,"AAAAAEm9zdU=")</f>
        <v>#VALUE!</v>
      </c>
      <c r="HG14" t="e">
        <f>AND('WJP Rule of Law Index 2012-2013'!AO70,"AAAAAEm9zdY=")</f>
        <v>#VALUE!</v>
      </c>
      <c r="HH14" t="e">
        <f>AND('WJP Rule of Law Index 2012-2013'!AP70,"AAAAAEm9zdc=")</f>
        <v>#VALUE!</v>
      </c>
      <c r="HI14" t="e">
        <f>AND('WJP Rule of Law Index 2012-2013'!AQ70,"AAAAAEm9zdg=")</f>
        <v>#VALUE!</v>
      </c>
      <c r="HJ14" t="e">
        <f>AND('WJP Rule of Law Index 2012-2013'!AR70,"AAAAAEm9zdk=")</f>
        <v>#VALUE!</v>
      </c>
      <c r="HK14" t="e">
        <f>AND('WJP Rule of Law Index 2012-2013'!AS70,"AAAAAEm9zdo=")</f>
        <v>#VALUE!</v>
      </c>
      <c r="HL14" t="e">
        <f>AND('WJP Rule of Law Index 2012-2013'!AT70,"AAAAAEm9zds=")</f>
        <v>#VALUE!</v>
      </c>
      <c r="HM14">
        <f>IF('WJP Rule of Law Index 2012-2013'!71:71,"AAAAAEm9zdw=",0)</f>
        <v>0</v>
      </c>
      <c r="HN14" t="e">
        <f>AND('WJP Rule of Law Index 2012-2013'!A71,"AAAAAEm9zd0=")</f>
        <v>#VALUE!</v>
      </c>
      <c r="HO14" t="e">
        <f>AND('WJP Rule of Law Index 2012-2013'!B71,"AAAAAEm9zd4=")</f>
        <v>#VALUE!</v>
      </c>
      <c r="HP14" t="e">
        <f>AND('WJP Rule of Law Index 2012-2013'!#REF!,"AAAAAEm9zd8=")</f>
        <v>#REF!</v>
      </c>
      <c r="HQ14" t="e">
        <f>AND('WJP Rule of Law Index 2012-2013'!C71,"AAAAAEm9zeA=")</f>
        <v>#VALUE!</v>
      </c>
      <c r="HR14" t="e">
        <f>AND('WJP Rule of Law Index 2012-2013'!#REF!,"AAAAAEm9zeE=")</f>
        <v>#REF!</v>
      </c>
      <c r="HS14" t="e">
        <f>AND('WJP Rule of Law Index 2012-2013'!D71,"AAAAAEm9zeI=")</f>
        <v>#VALUE!</v>
      </c>
      <c r="HT14" t="e">
        <f>AND('WJP Rule of Law Index 2012-2013'!E71,"AAAAAEm9zeM=")</f>
        <v>#VALUE!</v>
      </c>
      <c r="HU14" t="e">
        <f>AND('WJP Rule of Law Index 2012-2013'!F71,"AAAAAEm9zeQ=")</f>
        <v>#VALUE!</v>
      </c>
      <c r="HV14" t="e">
        <f>AND('WJP Rule of Law Index 2012-2013'!G71,"AAAAAEm9zeU=")</f>
        <v>#VALUE!</v>
      </c>
      <c r="HW14" t="e">
        <f>AND('WJP Rule of Law Index 2012-2013'!H71,"AAAAAEm9zeY=")</f>
        <v>#VALUE!</v>
      </c>
      <c r="HX14" t="e">
        <f>AND('WJP Rule of Law Index 2012-2013'!I71,"AAAAAEm9zec=")</f>
        <v>#VALUE!</v>
      </c>
      <c r="HY14" t="e">
        <f>AND('WJP Rule of Law Index 2012-2013'!J71,"AAAAAEm9zeg=")</f>
        <v>#VALUE!</v>
      </c>
      <c r="HZ14" t="e">
        <f>AND('WJP Rule of Law Index 2012-2013'!K71,"AAAAAEm9zek=")</f>
        <v>#VALUE!</v>
      </c>
      <c r="IA14" t="e">
        <f>AND('WJP Rule of Law Index 2012-2013'!#REF!,"AAAAAEm9zeo=")</f>
        <v>#REF!</v>
      </c>
      <c r="IB14" t="e">
        <f>AND('WJP Rule of Law Index 2012-2013'!#REF!,"AAAAAEm9zes=")</f>
        <v>#REF!</v>
      </c>
      <c r="IC14" t="e">
        <f>AND('WJP Rule of Law Index 2012-2013'!#REF!,"AAAAAEm9zew=")</f>
        <v>#REF!</v>
      </c>
      <c r="ID14" t="e">
        <f>AND('WJP Rule of Law Index 2012-2013'!P71,"AAAAAEm9ze0=")</f>
        <v>#VALUE!</v>
      </c>
      <c r="IE14" t="e">
        <f>AND('WJP Rule of Law Index 2012-2013'!Q71,"AAAAAEm9ze4=")</f>
        <v>#VALUE!</v>
      </c>
      <c r="IF14" t="e">
        <f>AND('WJP Rule of Law Index 2012-2013'!R71,"AAAAAEm9ze8=")</f>
        <v>#VALUE!</v>
      </c>
      <c r="IG14" t="e">
        <f>AND('WJP Rule of Law Index 2012-2013'!S71,"AAAAAEm9zfA=")</f>
        <v>#VALUE!</v>
      </c>
      <c r="IH14" t="e">
        <f>AND('WJP Rule of Law Index 2012-2013'!T71,"AAAAAEm9zfE=")</f>
        <v>#VALUE!</v>
      </c>
      <c r="II14" t="e">
        <f>AND('WJP Rule of Law Index 2012-2013'!U71,"AAAAAEm9zfI=")</f>
        <v>#VALUE!</v>
      </c>
      <c r="IJ14" t="e">
        <f>AND('WJP Rule of Law Index 2012-2013'!V71,"AAAAAEm9zfM=")</f>
        <v>#VALUE!</v>
      </c>
      <c r="IK14" t="e">
        <f>AND('WJP Rule of Law Index 2012-2013'!W71,"AAAAAEm9zfQ=")</f>
        <v>#VALUE!</v>
      </c>
      <c r="IL14" t="e">
        <f>AND('WJP Rule of Law Index 2012-2013'!X71,"AAAAAEm9zfU=")</f>
        <v>#VALUE!</v>
      </c>
      <c r="IM14" t="e">
        <f>AND('WJP Rule of Law Index 2012-2013'!Y71,"AAAAAEm9zfY=")</f>
        <v>#VALUE!</v>
      </c>
      <c r="IN14" t="e">
        <f>AND('WJP Rule of Law Index 2012-2013'!Z71,"AAAAAEm9zfc=")</f>
        <v>#VALUE!</v>
      </c>
      <c r="IO14" t="e">
        <f>AND('WJP Rule of Law Index 2012-2013'!AA71,"AAAAAEm9zfg=")</f>
        <v>#VALUE!</v>
      </c>
      <c r="IP14" t="e">
        <f>AND('WJP Rule of Law Index 2012-2013'!AB71,"AAAAAEm9zfk=")</f>
        <v>#VALUE!</v>
      </c>
      <c r="IQ14" t="e">
        <f>AND('WJP Rule of Law Index 2012-2013'!AC71,"AAAAAEm9zfo=")</f>
        <v>#VALUE!</v>
      </c>
      <c r="IR14" t="e">
        <f>AND('WJP Rule of Law Index 2012-2013'!AD71,"AAAAAEm9zfs=")</f>
        <v>#VALUE!</v>
      </c>
      <c r="IS14" t="e">
        <f>AND('WJP Rule of Law Index 2012-2013'!AE71,"AAAAAEm9zfw=")</f>
        <v>#VALUE!</v>
      </c>
      <c r="IT14" t="e">
        <f>AND('WJP Rule of Law Index 2012-2013'!AF71,"AAAAAEm9zf0=")</f>
        <v>#VALUE!</v>
      </c>
      <c r="IU14" t="e">
        <f>AND('WJP Rule of Law Index 2012-2013'!AG71,"AAAAAEm9zf4=")</f>
        <v>#VALUE!</v>
      </c>
      <c r="IV14" t="e">
        <f>AND('WJP Rule of Law Index 2012-2013'!#REF!,"AAAAAEm9zf8=")</f>
        <v>#REF!</v>
      </c>
    </row>
    <row r="15" spans="1:256" ht="15">
      <c r="A15" t="e">
        <f>AND('WJP Rule of Law Index 2012-2013'!#REF!,"AAAAAFr/bwA=")</f>
        <v>#REF!</v>
      </c>
      <c r="B15" t="e">
        <f>AND('WJP Rule of Law Index 2012-2013'!AH71,"AAAAAFr/bwE=")</f>
        <v>#VALUE!</v>
      </c>
      <c r="C15" t="e">
        <f>AND('WJP Rule of Law Index 2012-2013'!AI71,"AAAAAFr/bwI=")</f>
        <v>#VALUE!</v>
      </c>
      <c r="D15" t="e">
        <f>AND('WJP Rule of Law Index 2012-2013'!AJ71,"AAAAAFr/bwM=")</f>
        <v>#VALUE!</v>
      </c>
      <c r="E15" t="e">
        <f>AND('WJP Rule of Law Index 2012-2013'!AK71,"AAAAAFr/bwQ=")</f>
        <v>#VALUE!</v>
      </c>
      <c r="F15" t="e">
        <f>AND('WJP Rule of Law Index 2012-2013'!AL71,"AAAAAFr/bwU=")</f>
        <v>#VALUE!</v>
      </c>
      <c r="G15" t="e">
        <f>AND('WJP Rule of Law Index 2012-2013'!AM71,"AAAAAFr/bwY=")</f>
        <v>#VALUE!</v>
      </c>
      <c r="H15" t="e">
        <f>AND('WJP Rule of Law Index 2012-2013'!AN71,"AAAAAFr/bwc=")</f>
        <v>#VALUE!</v>
      </c>
      <c r="I15" t="e">
        <f>AND('WJP Rule of Law Index 2012-2013'!AO71,"AAAAAFr/bwg=")</f>
        <v>#VALUE!</v>
      </c>
      <c r="J15" t="e">
        <f>AND('WJP Rule of Law Index 2012-2013'!AP71,"AAAAAFr/bwk=")</f>
        <v>#VALUE!</v>
      </c>
      <c r="K15" t="e">
        <f>AND('WJP Rule of Law Index 2012-2013'!AQ71,"AAAAAFr/bwo=")</f>
        <v>#VALUE!</v>
      </c>
      <c r="L15" t="e">
        <f>AND('WJP Rule of Law Index 2012-2013'!AR71,"AAAAAFr/bws=")</f>
        <v>#VALUE!</v>
      </c>
      <c r="M15" t="e">
        <f>AND('WJP Rule of Law Index 2012-2013'!AS71,"AAAAAFr/bww=")</f>
        <v>#VALUE!</v>
      </c>
      <c r="N15" t="e">
        <f>AND('WJP Rule of Law Index 2012-2013'!AT71,"AAAAAFr/bw0=")</f>
        <v>#VALUE!</v>
      </c>
      <c r="O15" t="str">
        <f>IF('WJP Rule of Law Index 2012-2013'!72:72,"AAAAAFr/bw4=",0)</f>
        <v>AAAAAFr/bw4=</v>
      </c>
      <c r="P15" t="e">
        <f>AND('WJP Rule of Law Index 2012-2013'!A72,"AAAAAFr/bw8=")</f>
        <v>#VALUE!</v>
      </c>
      <c r="Q15" t="e">
        <f>AND('WJP Rule of Law Index 2012-2013'!B72,"AAAAAFr/bxA=")</f>
        <v>#VALUE!</v>
      </c>
      <c r="R15" t="e">
        <f>AND('WJP Rule of Law Index 2012-2013'!#REF!,"AAAAAFr/bxE=")</f>
        <v>#REF!</v>
      </c>
      <c r="S15" t="e">
        <f>AND('WJP Rule of Law Index 2012-2013'!C72,"AAAAAFr/bxI=")</f>
        <v>#VALUE!</v>
      </c>
      <c r="T15" t="e">
        <f>AND('WJP Rule of Law Index 2012-2013'!#REF!,"AAAAAFr/bxM=")</f>
        <v>#REF!</v>
      </c>
      <c r="U15" t="e">
        <f>AND('WJP Rule of Law Index 2012-2013'!D72,"AAAAAFr/bxQ=")</f>
        <v>#VALUE!</v>
      </c>
      <c r="V15" t="e">
        <f>AND('WJP Rule of Law Index 2012-2013'!E72,"AAAAAFr/bxU=")</f>
        <v>#VALUE!</v>
      </c>
      <c r="W15" t="e">
        <f>AND('WJP Rule of Law Index 2012-2013'!F72,"AAAAAFr/bxY=")</f>
        <v>#VALUE!</v>
      </c>
      <c r="X15" t="e">
        <f>AND('WJP Rule of Law Index 2012-2013'!G72,"AAAAAFr/bxc=")</f>
        <v>#VALUE!</v>
      </c>
      <c r="Y15" t="e">
        <f>AND('WJP Rule of Law Index 2012-2013'!H72,"AAAAAFr/bxg=")</f>
        <v>#VALUE!</v>
      </c>
      <c r="Z15" t="e">
        <f>AND('WJP Rule of Law Index 2012-2013'!I72,"AAAAAFr/bxk=")</f>
        <v>#VALUE!</v>
      </c>
      <c r="AA15" t="e">
        <f>AND('WJP Rule of Law Index 2012-2013'!J72,"AAAAAFr/bxo=")</f>
        <v>#VALUE!</v>
      </c>
      <c r="AB15" t="e">
        <f>AND('WJP Rule of Law Index 2012-2013'!K72,"AAAAAFr/bxs=")</f>
        <v>#VALUE!</v>
      </c>
      <c r="AC15" t="e">
        <f>AND('WJP Rule of Law Index 2012-2013'!#REF!,"AAAAAFr/bxw=")</f>
        <v>#REF!</v>
      </c>
      <c r="AD15" t="e">
        <f>AND('WJP Rule of Law Index 2012-2013'!#REF!,"AAAAAFr/bx0=")</f>
        <v>#REF!</v>
      </c>
      <c r="AE15" t="e">
        <f>AND('WJP Rule of Law Index 2012-2013'!#REF!,"AAAAAFr/bx4=")</f>
        <v>#REF!</v>
      </c>
      <c r="AF15" t="e">
        <f>AND('WJP Rule of Law Index 2012-2013'!P72,"AAAAAFr/bx8=")</f>
        <v>#VALUE!</v>
      </c>
      <c r="AG15" t="e">
        <f>AND('WJP Rule of Law Index 2012-2013'!Q72,"AAAAAFr/byA=")</f>
        <v>#VALUE!</v>
      </c>
      <c r="AH15" t="e">
        <f>AND('WJP Rule of Law Index 2012-2013'!R72,"AAAAAFr/byE=")</f>
        <v>#VALUE!</v>
      </c>
      <c r="AI15" t="e">
        <f>AND('WJP Rule of Law Index 2012-2013'!S72,"AAAAAFr/byI=")</f>
        <v>#VALUE!</v>
      </c>
      <c r="AJ15" t="e">
        <f>AND('WJP Rule of Law Index 2012-2013'!T72,"AAAAAFr/byM=")</f>
        <v>#VALUE!</v>
      </c>
      <c r="AK15" t="e">
        <f>AND('WJP Rule of Law Index 2012-2013'!U72,"AAAAAFr/byQ=")</f>
        <v>#VALUE!</v>
      </c>
      <c r="AL15" t="e">
        <f>AND('WJP Rule of Law Index 2012-2013'!V72,"AAAAAFr/byU=")</f>
        <v>#VALUE!</v>
      </c>
      <c r="AM15" t="e">
        <f>AND('WJP Rule of Law Index 2012-2013'!W72,"AAAAAFr/byY=")</f>
        <v>#VALUE!</v>
      </c>
      <c r="AN15" t="e">
        <f>AND('WJP Rule of Law Index 2012-2013'!X72,"AAAAAFr/byc=")</f>
        <v>#VALUE!</v>
      </c>
      <c r="AO15" t="e">
        <f>AND('WJP Rule of Law Index 2012-2013'!Y72,"AAAAAFr/byg=")</f>
        <v>#VALUE!</v>
      </c>
      <c r="AP15" t="e">
        <f>AND('WJP Rule of Law Index 2012-2013'!Z72,"AAAAAFr/byk=")</f>
        <v>#VALUE!</v>
      </c>
      <c r="AQ15" t="e">
        <f>AND('WJP Rule of Law Index 2012-2013'!AA72,"AAAAAFr/byo=")</f>
        <v>#VALUE!</v>
      </c>
      <c r="AR15" t="e">
        <f>AND('WJP Rule of Law Index 2012-2013'!AB72,"AAAAAFr/bys=")</f>
        <v>#VALUE!</v>
      </c>
      <c r="AS15" t="e">
        <f>AND('WJP Rule of Law Index 2012-2013'!AC72,"AAAAAFr/byw=")</f>
        <v>#VALUE!</v>
      </c>
      <c r="AT15" t="e">
        <f>AND('WJP Rule of Law Index 2012-2013'!AD72,"AAAAAFr/by0=")</f>
        <v>#VALUE!</v>
      </c>
      <c r="AU15" t="e">
        <f>AND('WJP Rule of Law Index 2012-2013'!AE72,"AAAAAFr/by4=")</f>
        <v>#VALUE!</v>
      </c>
      <c r="AV15" t="e">
        <f>AND('WJP Rule of Law Index 2012-2013'!AF72,"AAAAAFr/by8=")</f>
        <v>#VALUE!</v>
      </c>
      <c r="AW15" t="e">
        <f>AND('WJP Rule of Law Index 2012-2013'!AG72,"AAAAAFr/bzA=")</f>
        <v>#VALUE!</v>
      </c>
      <c r="AX15" t="e">
        <f>AND('WJP Rule of Law Index 2012-2013'!#REF!,"AAAAAFr/bzE=")</f>
        <v>#REF!</v>
      </c>
      <c r="AY15" t="e">
        <f>AND('WJP Rule of Law Index 2012-2013'!#REF!,"AAAAAFr/bzI=")</f>
        <v>#REF!</v>
      </c>
      <c r="AZ15" t="e">
        <f>AND('WJP Rule of Law Index 2012-2013'!AH72,"AAAAAFr/bzM=")</f>
        <v>#VALUE!</v>
      </c>
      <c r="BA15" t="e">
        <f>AND('WJP Rule of Law Index 2012-2013'!AI72,"AAAAAFr/bzQ=")</f>
        <v>#VALUE!</v>
      </c>
      <c r="BB15" t="e">
        <f>AND('WJP Rule of Law Index 2012-2013'!AJ72,"AAAAAFr/bzU=")</f>
        <v>#VALUE!</v>
      </c>
      <c r="BC15" t="e">
        <f>AND('WJP Rule of Law Index 2012-2013'!AK72,"AAAAAFr/bzY=")</f>
        <v>#VALUE!</v>
      </c>
      <c r="BD15" t="e">
        <f>AND('WJP Rule of Law Index 2012-2013'!AL72,"AAAAAFr/bzc=")</f>
        <v>#VALUE!</v>
      </c>
      <c r="BE15" t="e">
        <f>AND('WJP Rule of Law Index 2012-2013'!AM72,"AAAAAFr/bzg=")</f>
        <v>#VALUE!</v>
      </c>
      <c r="BF15" t="e">
        <f>AND('WJP Rule of Law Index 2012-2013'!AN72,"AAAAAFr/bzk=")</f>
        <v>#VALUE!</v>
      </c>
      <c r="BG15" t="e">
        <f>AND('WJP Rule of Law Index 2012-2013'!AO72,"AAAAAFr/bzo=")</f>
        <v>#VALUE!</v>
      </c>
      <c r="BH15" t="e">
        <f>AND('WJP Rule of Law Index 2012-2013'!AP72,"AAAAAFr/bzs=")</f>
        <v>#VALUE!</v>
      </c>
      <c r="BI15" t="e">
        <f>AND('WJP Rule of Law Index 2012-2013'!AQ72,"AAAAAFr/bzw=")</f>
        <v>#VALUE!</v>
      </c>
      <c r="BJ15" t="e">
        <f>AND('WJP Rule of Law Index 2012-2013'!AR72,"AAAAAFr/bz0=")</f>
        <v>#VALUE!</v>
      </c>
      <c r="BK15" t="e">
        <f>AND('WJP Rule of Law Index 2012-2013'!AS72,"AAAAAFr/bz4=")</f>
        <v>#VALUE!</v>
      </c>
      <c r="BL15" t="e">
        <f>AND('WJP Rule of Law Index 2012-2013'!AT72,"AAAAAFr/bz8=")</f>
        <v>#VALUE!</v>
      </c>
      <c r="BM15">
        <f>IF('WJP Rule of Law Index 2012-2013'!73:73,"AAAAAFr/b0A=",0)</f>
        <v>0</v>
      </c>
      <c r="BN15" t="e">
        <f>AND('WJP Rule of Law Index 2012-2013'!A73,"AAAAAFr/b0E=")</f>
        <v>#VALUE!</v>
      </c>
      <c r="BO15" t="e">
        <f>AND('WJP Rule of Law Index 2012-2013'!B73,"AAAAAFr/b0I=")</f>
        <v>#VALUE!</v>
      </c>
      <c r="BP15" t="e">
        <f>AND('WJP Rule of Law Index 2012-2013'!#REF!,"AAAAAFr/b0M=")</f>
        <v>#REF!</v>
      </c>
      <c r="BQ15" t="e">
        <f>AND('WJP Rule of Law Index 2012-2013'!C73,"AAAAAFr/b0Q=")</f>
        <v>#VALUE!</v>
      </c>
      <c r="BR15" t="e">
        <f>AND('WJP Rule of Law Index 2012-2013'!#REF!,"AAAAAFr/b0U=")</f>
        <v>#REF!</v>
      </c>
      <c r="BS15" t="e">
        <f>AND('WJP Rule of Law Index 2012-2013'!D73,"AAAAAFr/b0Y=")</f>
        <v>#VALUE!</v>
      </c>
      <c r="BT15" t="e">
        <f>AND('WJP Rule of Law Index 2012-2013'!E73,"AAAAAFr/b0c=")</f>
        <v>#VALUE!</v>
      </c>
      <c r="BU15" t="e">
        <f>AND('WJP Rule of Law Index 2012-2013'!F73,"AAAAAFr/b0g=")</f>
        <v>#VALUE!</v>
      </c>
      <c r="BV15" t="e">
        <f>AND('WJP Rule of Law Index 2012-2013'!G73,"AAAAAFr/b0k=")</f>
        <v>#VALUE!</v>
      </c>
      <c r="BW15" t="e">
        <f>AND('WJP Rule of Law Index 2012-2013'!H73,"AAAAAFr/b0o=")</f>
        <v>#VALUE!</v>
      </c>
      <c r="BX15" t="e">
        <f>AND('WJP Rule of Law Index 2012-2013'!I73,"AAAAAFr/b0s=")</f>
        <v>#VALUE!</v>
      </c>
      <c r="BY15" t="e">
        <f>AND('WJP Rule of Law Index 2012-2013'!J73,"AAAAAFr/b0w=")</f>
        <v>#VALUE!</v>
      </c>
      <c r="BZ15" t="e">
        <f>AND('WJP Rule of Law Index 2012-2013'!K73,"AAAAAFr/b00=")</f>
        <v>#VALUE!</v>
      </c>
      <c r="CA15" t="e">
        <f>AND('WJP Rule of Law Index 2012-2013'!#REF!,"AAAAAFr/b04=")</f>
        <v>#REF!</v>
      </c>
      <c r="CB15" t="e">
        <f>AND('WJP Rule of Law Index 2012-2013'!#REF!,"AAAAAFr/b08=")</f>
        <v>#REF!</v>
      </c>
      <c r="CC15" t="e">
        <f>AND('WJP Rule of Law Index 2012-2013'!#REF!,"AAAAAFr/b1A=")</f>
        <v>#REF!</v>
      </c>
      <c r="CD15" t="e">
        <f>AND('WJP Rule of Law Index 2012-2013'!P73,"AAAAAFr/b1E=")</f>
        <v>#VALUE!</v>
      </c>
      <c r="CE15" t="e">
        <f>AND('WJP Rule of Law Index 2012-2013'!Q73,"AAAAAFr/b1I=")</f>
        <v>#VALUE!</v>
      </c>
      <c r="CF15" t="e">
        <f>AND('WJP Rule of Law Index 2012-2013'!R73,"AAAAAFr/b1M=")</f>
        <v>#VALUE!</v>
      </c>
      <c r="CG15" t="e">
        <f>AND('WJP Rule of Law Index 2012-2013'!S73,"AAAAAFr/b1Q=")</f>
        <v>#VALUE!</v>
      </c>
      <c r="CH15" t="e">
        <f>AND('WJP Rule of Law Index 2012-2013'!T73,"AAAAAFr/b1U=")</f>
        <v>#VALUE!</v>
      </c>
      <c r="CI15" t="e">
        <f>AND('WJP Rule of Law Index 2012-2013'!U73,"AAAAAFr/b1Y=")</f>
        <v>#VALUE!</v>
      </c>
      <c r="CJ15" t="e">
        <f>AND('WJP Rule of Law Index 2012-2013'!V73,"AAAAAFr/b1c=")</f>
        <v>#VALUE!</v>
      </c>
      <c r="CK15" t="e">
        <f>AND('WJP Rule of Law Index 2012-2013'!W73,"AAAAAFr/b1g=")</f>
        <v>#VALUE!</v>
      </c>
      <c r="CL15" t="e">
        <f>AND('WJP Rule of Law Index 2012-2013'!X73,"AAAAAFr/b1k=")</f>
        <v>#VALUE!</v>
      </c>
      <c r="CM15" t="e">
        <f>AND('WJP Rule of Law Index 2012-2013'!Y73,"AAAAAFr/b1o=")</f>
        <v>#VALUE!</v>
      </c>
      <c r="CN15" t="e">
        <f>AND('WJP Rule of Law Index 2012-2013'!Z73,"AAAAAFr/b1s=")</f>
        <v>#VALUE!</v>
      </c>
      <c r="CO15" t="e">
        <f>AND('WJP Rule of Law Index 2012-2013'!AA73,"AAAAAFr/b1w=")</f>
        <v>#VALUE!</v>
      </c>
      <c r="CP15" t="e">
        <f>AND('WJP Rule of Law Index 2012-2013'!AB73,"AAAAAFr/b10=")</f>
        <v>#VALUE!</v>
      </c>
      <c r="CQ15" t="e">
        <f>AND('WJP Rule of Law Index 2012-2013'!AC73,"AAAAAFr/b14=")</f>
        <v>#VALUE!</v>
      </c>
      <c r="CR15" t="e">
        <f>AND('WJP Rule of Law Index 2012-2013'!AD73,"AAAAAFr/b18=")</f>
        <v>#VALUE!</v>
      </c>
      <c r="CS15" t="e">
        <f>AND('WJP Rule of Law Index 2012-2013'!AE73,"AAAAAFr/b2A=")</f>
        <v>#VALUE!</v>
      </c>
      <c r="CT15" t="e">
        <f>AND('WJP Rule of Law Index 2012-2013'!AF73,"AAAAAFr/b2E=")</f>
        <v>#VALUE!</v>
      </c>
      <c r="CU15" t="e">
        <f>AND('WJP Rule of Law Index 2012-2013'!AG73,"AAAAAFr/b2I=")</f>
        <v>#VALUE!</v>
      </c>
      <c r="CV15" t="e">
        <f>AND('WJP Rule of Law Index 2012-2013'!#REF!,"AAAAAFr/b2M=")</f>
        <v>#REF!</v>
      </c>
      <c r="CW15" t="e">
        <f>AND('WJP Rule of Law Index 2012-2013'!#REF!,"AAAAAFr/b2Q=")</f>
        <v>#REF!</v>
      </c>
      <c r="CX15" t="e">
        <f>AND('WJP Rule of Law Index 2012-2013'!AH73,"AAAAAFr/b2U=")</f>
        <v>#VALUE!</v>
      </c>
      <c r="CY15" t="e">
        <f>AND('WJP Rule of Law Index 2012-2013'!AI73,"AAAAAFr/b2Y=")</f>
        <v>#VALUE!</v>
      </c>
      <c r="CZ15" t="e">
        <f>AND('WJP Rule of Law Index 2012-2013'!AJ73,"AAAAAFr/b2c=")</f>
        <v>#VALUE!</v>
      </c>
      <c r="DA15" t="e">
        <f>AND('WJP Rule of Law Index 2012-2013'!AK73,"AAAAAFr/b2g=")</f>
        <v>#VALUE!</v>
      </c>
      <c r="DB15" t="e">
        <f>AND('WJP Rule of Law Index 2012-2013'!AL73,"AAAAAFr/b2k=")</f>
        <v>#VALUE!</v>
      </c>
      <c r="DC15" t="e">
        <f>AND('WJP Rule of Law Index 2012-2013'!AM73,"AAAAAFr/b2o=")</f>
        <v>#VALUE!</v>
      </c>
      <c r="DD15" t="e">
        <f>AND('WJP Rule of Law Index 2012-2013'!AN73,"AAAAAFr/b2s=")</f>
        <v>#VALUE!</v>
      </c>
      <c r="DE15" t="e">
        <f>AND('WJP Rule of Law Index 2012-2013'!AO73,"AAAAAFr/b2w=")</f>
        <v>#VALUE!</v>
      </c>
      <c r="DF15" t="e">
        <f>AND('WJP Rule of Law Index 2012-2013'!AP73,"AAAAAFr/b20=")</f>
        <v>#VALUE!</v>
      </c>
      <c r="DG15" t="e">
        <f>AND('WJP Rule of Law Index 2012-2013'!AQ73,"AAAAAFr/b24=")</f>
        <v>#VALUE!</v>
      </c>
      <c r="DH15" t="e">
        <f>AND('WJP Rule of Law Index 2012-2013'!AR73,"AAAAAFr/b28=")</f>
        <v>#VALUE!</v>
      </c>
      <c r="DI15" t="e">
        <f>AND('WJP Rule of Law Index 2012-2013'!AS73,"AAAAAFr/b3A=")</f>
        <v>#VALUE!</v>
      </c>
      <c r="DJ15" t="e">
        <f>AND('WJP Rule of Law Index 2012-2013'!AT73,"AAAAAFr/b3E=")</f>
        <v>#VALUE!</v>
      </c>
      <c r="DK15">
        <f>IF('WJP Rule of Law Index 2012-2013'!74:74,"AAAAAFr/b3I=",0)</f>
        <v>0</v>
      </c>
      <c r="DL15" t="e">
        <f>AND('WJP Rule of Law Index 2012-2013'!A74,"AAAAAFr/b3M=")</f>
        <v>#VALUE!</v>
      </c>
      <c r="DM15" t="e">
        <f>AND('WJP Rule of Law Index 2012-2013'!B74,"AAAAAFr/b3Q=")</f>
        <v>#VALUE!</v>
      </c>
      <c r="DN15" t="e">
        <f>AND('WJP Rule of Law Index 2012-2013'!#REF!,"AAAAAFr/b3U=")</f>
        <v>#REF!</v>
      </c>
      <c r="DO15" t="e">
        <f>AND('WJP Rule of Law Index 2012-2013'!C74,"AAAAAFr/b3Y=")</f>
        <v>#VALUE!</v>
      </c>
      <c r="DP15" t="e">
        <f>AND('WJP Rule of Law Index 2012-2013'!#REF!,"AAAAAFr/b3c=")</f>
        <v>#REF!</v>
      </c>
      <c r="DQ15" t="e">
        <f>AND('WJP Rule of Law Index 2012-2013'!D74,"AAAAAFr/b3g=")</f>
        <v>#VALUE!</v>
      </c>
      <c r="DR15" t="e">
        <f>AND('WJP Rule of Law Index 2012-2013'!E74,"AAAAAFr/b3k=")</f>
        <v>#VALUE!</v>
      </c>
      <c r="DS15" t="e">
        <f>AND('WJP Rule of Law Index 2012-2013'!F74,"AAAAAFr/b3o=")</f>
        <v>#VALUE!</v>
      </c>
      <c r="DT15" t="e">
        <f>AND('WJP Rule of Law Index 2012-2013'!G74,"AAAAAFr/b3s=")</f>
        <v>#VALUE!</v>
      </c>
      <c r="DU15" t="e">
        <f>AND('WJP Rule of Law Index 2012-2013'!H74,"AAAAAFr/b3w=")</f>
        <v>#VALUE!</v>
      </c>
      <c r="DV15" t="e">
        <f>AND('WJP Rule of Law Index 2012-2013'!I74,"AAAAAFr/b30=")</f>
        <v>#VALUE!</v>
      </c>
      <c r="DW15" t="e">
        <f>AND('WJP Rule of Law Index 2012-2013'!J74,"AAAAAFr/b34=")</f>
        <v>#VALUE!</v>
      </c>
      <c r="DX15" t="e">
        <f>AND('WJP Rule of Law Index 2012-2013'!K74,"AAAAAFr/b38=")</f>
        <v>#VALUE!</v>
      </c>
      <c r="DY15" t="e">
        <f>AND('WJP Rule of Law Index 2012-2013'!#REF!,"AAAAAFr/b4A=")</f>
        <v>#REF!</v>
      </c>
      <c r="DZ15" t="e">
        <f>AND('WJP Rule of Law Index 2012-2013'!#REF!,"AAAAAFr/b4E=")</f>
        <v>#REF!</v>
      </c>
      <c r="EA15" t="e">
        <f>AND('WJP Rule of Law Index 2012-2013'!#REF!,"AAAAAFr/b4I=")</f>
        <v>#REF!</v>
      </c>
      <c r="EB15" t="e">
        <f>AND('WJP Rule of Law Index 2012-2013'!P74,"AAAAAFr/b4M=")</f>
        <v>#VALUE!</v>
      </c>
      <c r="EC15" t="e">
        <f>AND('WJP Rule of Law Index 2012-2013'!Q74,"AAAAAFr/b4Q=")</f>
        <v>#VALUE!</v>
      </c>
      <c r="ED15" t="e">
        <f>AND('WJP Rule of Law Index 2012-2013'!R74,"AAAAAFr/b4U=")</f>
        <v>#VALUE!</v>
      </c>
      <c r="EE15" t="e">
        <f>AND('WJP Rule of Law Index 2012-2013'!S74,"AAAAAFr/b4Y=")</f>
        <v>#VALUE!</v>
      </c>
      <c r="EF15" t="e">
        <f>AND('WJP Rule of Law Index 2012-2013'!T74,"AAAAAFr/b4c=")</f>
        <v>#VALUE!</v>
      </c>
      <c r="EG15" t="e">
        <f>AND('WJP Rule of Law Index 2012-2013'!U74,"AAAAAFr/b4g=")</f>
        <v>#VALUE!</v>
      </c>
      <c r="EH15" t="e">
        <f>AND('WJP Rule of Law Index 2012-2013'!V74,"AAAAAFr/b4k=")</f>
        <v>#VALUE!</v>
      </c>
      <c r="EI15" t="e">
        <f>AND('WJP Rule of Law Index 2012-2013'!W74,"AAAAAFr/b4o=")</f>
        <v>#VALUE!</v>
      </c>
      <c r="EJ15" t="e">
        <f>AND('WJP Rule of Law Index 2012-2013'!X74,"AAAAAFr/b4s=")</f>
        <v>#VALUE!</v>
      </c>
      <c r="EK15" t="e">
        <f>AND('WJP Rule of Law Index 2012-2013'!Y74,"AAAAAFr/b4w=")</f>
        <v>#VALUE!</v>
      </c>
      <c r="EL15" t="e">
        <f>AND('WJP Rule of Law Index 2012-2013'!Z74,"AAAAAFr/b40=")</f>
        <v>#VALUE!</v>
      </c>
      <c r="EM15" t="e">
        <f>AND('WJP Rule of Law Index 2012-2013'!AA74,"AAAAAFr/b44=")</f>
        <v>#VALUE!</v>
      </c>
      <c r="EN15" t="e">
        <f>AND('WJP Rule of Law Index 2012-2013'!AB74,"AAAAAFr/b48=")</f>
        <v>#VALUE!</v>
      </c>
      <c r="EO15" t="e">
        <f>AND('WJP Rule of Law Index 2012-2013'!AC74,"AAAAAFr/b5A=")</f>
        <v>#VALUE!</v>
      </c>
      <c r="EP15" t="e">
        <f>AND('WJP Rule of Law Index 2012-2013'!AD74,"AAAAAFr/b5E=")</f>
        <v>#VALUE!</v>
      </c>
      <c r="EQ15" t="e">
        <f>AND('WJP Rule of Law Index 2012-2013'!AE74,"AAAAAFr/b5I=")</f>
        <v>#VALUE!</v>
      </c>
      <c r="ER15" t="e">
        <f>AND('WJP Rule of Law Index 2012-2013'!AF74,"AAAAAFr/b5M=")</f>
        <v>#VALUE!</v>
      </c>
      <c r="ES15" t="e">
        <f>AND('WJP Rule of Law Index 2012-2013'!AG74,"AAAAAFr/b5Q=")</f>
        <v>#VALUE!</v>
      </c>
      <c r="ET15" t="e">
        <f>AND('WJP Rule of Law Index 2012-2013'!#REF!,"AAAAAFr/b5U=")</f>
        <v>#REF!</v>
      </c>
      <c r="EU15" t="e">
        <f>AND('WJP Rule of Law Index 2012-2013'!#REF!,"AAAAAFr/b5Y=")</f>
        <v>#REF!</v>
      </c>
      <c r="EV15" t="e">
        <f>AND('WJP Rule of Law Index 2012-2013'!AH74,"AAAAAFr/b5c=")</f>
        <v>#VALUE!</v>
      </c>
      <c r="EW15" t="e">
        <f>AND('WJP Rule of Law Index 2012-2013'!AI74,"AAAAAFr/b5g=")</f>
        <v>#VALUE!</v>
      </c>
      <c r="EX15" t="e">
        <f>AND('WJP Rule of Law Index 2012-2013'!AJ74,"AAAAAFr/b5k=")</f>
        <v>#VALUE!</v>
      </c>
      <c r="EY15" t="e">
        <f>AND('WJP Rule of Law Index 2012-2013'!AK74,"AAAAAFr/b5o=")</f>
        <v>#VALUE!</v>
      </c>
      <c r="EZ15" t="e">
        <f>AND('WJP Rule of Law Index 2012-2013'!AL74,"AAAAAFr/b5s=")</f>
        <v>#VALUE!</v>
      </c>
      <c r="FA15" t="e">
        <f>AND('WJP Rule of Law Index 2012-2013'!AM74,"AAAAAFr/b5w=")</f>
        <v>#VALUE!</v>
      </c>
      <c r="FB15" t="e">
        <f>AND('WJP Rule of Law Index 2012-2013'!AN74,"AAAAAFr/b50=")</f>
        <v>#VALUE!</v>
      </c>
      <c r="FC15" t="e">
        <f>AND('WJP Rule of Law Index 2012-2013'!AO74,"AAAAAFr/b54=")</f>
        <v>#VALUE!</v>
      </c>
      <c r="FD15" t="e">
        <f>AND('WJP Rule of Law Index 2012-2013'!AP74,"AAAAAFr/b58=")</f>
        <v>#VALUE!</v>
      </c>
      <c r="FE15" t="e">
        <f>AND('WJP Rule of Law Index 2012-2013'!AQ74,"AAAAAFr/b6A=")</f>
        <v>#VALUE!</v>
      </c>
      <c r="FF15" t="e">
        <f>AND('WJP Rule of Law Index 2012-2013'!AR74,"AAAAAFr/b6E=")</f>
        <v>#VALUE!</v>
      </c>
      <c r="FG15" t="e">
        <f>AND('WJP Rule of Law Index 2012-2013'!AS74,"AAAAAFr/b6I=")</f>
        <v>#VALUE!</v>
      </c>
      <c r="FH15" t="e">
        <f>AND('WJP Rule of Law Index 2012-2013'!AT74,"AAAAAFr/b6M=")</f>
        <v>#VALUE!</v>
      </c>
      <c r="FI15">
        <f>IF('WJP Rule of Law Index 2012-2013'!75:75,"AAAAAFr/b6Q=",0)</f>
        <v>0</v>
      </c>
      <c r="FJ15" t="e">
        <f>AND('WJP Rule of Law Index 2012-2013'!A75,"AAAAAFr/b6U=")</f>
        <v>#VALUE!</v>
      </c>
      <c r="FK15" t="e">
        <f>AND('WJP Rule of Law Index 2012-2013'!B75,"AAAAAFr/b6Y=")</f>
        <v>#VALUE!</v>
      </c>
      <c r="FL15" t="e">
        <f>AND('WJP Rule of Law Index 2012-2013'!#REF!,"AAAAAFr/b6c=")</f>
        <v>#REF!</v>
      </c>
      <c r="FM15" t="e">
        <f>AND('WJP Rule of Law Index 2012-2013'!C75,"AAAAAFr/b6g=")</f>
        <v>#VALUE!</v>
      </c>
      <c r="FN15" t="e">
        <f>AND('WJP Rule of Law Index 2012-2013'!#REF!,"AAAAAFr/b6k=")</f>
        <v>#REF!</v>
      </c>
      <c r="FO15" t="e">
        <f>AND('WJP Rule of Law Index 2012-2013'!D75,"AAAAAFr/b6o=")</f>
        <v>#VALUE!</v>
      </c>
      <c r="FP15" t="e">
        <f>AND('WJP Rule of Law Index 2012-2013'!E75,"AAAAAFr/b6s=")</f>
        <v>#VALUE!</v>
      </c>
      <c r="FQ15" t="e">
        <f>AND('WJP Rule of Law Index 2012-2013'!F75,"AAAAAFr/b6w=")</f>
        <v>#VALUE!</v>
      </c>
      <c r="FR15" t="e">
        <f>AND('WJP Rule of Law Index 2012-2013'!G75,"AAAAAFr/b60=")</f>
        <v>#VALUE!</v>
      </c>
      <c r="FS15" t="e">
        <f>AND('WJP Rule of Law Index 2012-2013'!H75,"AAAAAFr/b64=")</f>
        <v>#VALUE!</v>
      </c>
      <c r="FT15" t="e">
        <f>AND('WJP Rule of Law Index 2012-2013'!I75,"AAAAAFr/b68=")</f>
        <v>#VALUE!</v>
      </c>
      <c r="FU15" t="e">
        <f>AND('WJP Rule of Law Index 2012-2013'!J75,"AAAAAFr/b7A=")</f>
        <v>#VALUE!</v>
      </c>
      <c r="FV15" t="e">
        <f>AND('WJP Rule of Law Index 2012-2013'!K75,"AAAAAFr/b7E=")</f>
        <v>#VALUE!</v>
      </c>
      <c r="FW15" t="e">
        <f>AND('WJP Rule of Law Index 2012-2013'!#REF!,"AAAAAFr/b7I=")</f>
        <v>#REF!</v>
      </c>
      <c r="FX15" t="e">
        <f>AND('WJP Rule of Law Index 2012-2013'!#REF!,"AAAAAFr/b7M=")</f>
        <v>#REF!</v>
      </c>
      <c r="FY15" t="e">
        <f>AND('WJP Rule of Law Index 2012-2013'!#REF!,"AAAAAFr/b7Q=")</f>
        <v>#REF!</v>
      </c>
      <c r="FZ15" t="e">
        <f>AND('WJP Rule of Law Index 2012-2013'!P75,"AAAAAFr/b7U=")</f>
        <v>#VALUE!</v>
      </c>
      <c r="GA15" t="e">
        <f>AND('WJP Rule of Law Index 2012-2013'!Q75,"AAAAAFr/b7Y=")</f>
        <v>#VALUE!</v>
      </c>
      <c r="GB15" t="e">
        <f>AND('WJP Rule of Law Index 2012-2013'!R75,"AAAAAFr/b7c=")</f>
        <v>#VALUE!</v>
      </c>
      <c r="GC15" t="e">
        <f>AND('WJP Rule of Law Index 2012-2013'!S75,"AAAAAFr/b7g=")</f>
        <v>#VALUE!</v>
      </c>
      <c r="GD15" t="e">
        <f>AND('WJP Rule of Law Index 2012-2013'!T75,"AAAAAFr/b7k=")</f>
        <v>#VALUE!</v>
      </c>
      <c r="GE15" t="e">
        <f>AND('WJP Rule of Law Index 2012-2013'!U75,"AAAAAFr/b7o=")</f>
        <v>#VALUE!</v>
      </c>
      <c r="GF15" t="e">
        <f>AND('WJP Rule of Law Index 2012-2013'!V75,"AAAAAFr/b7s=")</f>
        <v>#VALUE!</v>
      </c>
      <c r="GG15" t="e">
        <f>AND('WJP Rule of Law Index 2012-2013'!W75,"AAAAAFr/b7w=")</f>
        <v>#VALUE!</v>
      </c>
      <c r="GH15" t="e">
        <f>AND('WJP Rule of Law Index 2012-2013'!X75,"AAAAAFr/b70=")</f>
        <v>#VALUE!</v>
      </c>
      <c r="GI15" t="e">
        <f>AND('WJP Rule of Law Index 2012-2013'!Y75,"AAAAAFr/b74=")</f>
        <v>#VALUE!</v>
      </c>
      <c r="GJ15" t="e">
        <f>AND('WJP Rule of Law Index 2012-2013'!Z75,"AAAAAFr/b78=")</f>
        <v>#VALUE!</v>
      </c>
      <c r="GK15" t="e">
        <f>AND('WJP Rule of Law Index 2012-2013'!AA75,"AAAAAFr/b8A=")</f>
        <v>#VALUE!</v>
      </c>
      <c r="GL15" t="e">
        <f>AND('WJP Rule of Law Index 2012-2013'!AB75,"AAAAAFr/b8E=")</f>
        <v>#VALUE!</v>
      </c>
      <c r="GM15" t="e">
        <f>AND('WJP Rule of Law Index 2012-2013'!AC75,"AAAAAFr/b8I=")</f>
        <v>#VALUE!</v>
      </c>
      <c r="GN15" t="e">
        <f>AND('WJP Rule of Law Index 2012-2013'!AD75,"AAAAAFr/b8M=")</f>
        <v>#VALUE!</v>
      </c>
      <c r="GO15" t="e">
        <f>AND('WJP Rule of Law Index 2012-2013'!AE75,"AAAAAFr/b8Q=")</f>
        <v>#VALUE!</v>
      </c>
      <c r="GP15" t="e">
        <f>AND('WJP Rule of Law Index 2012-2013'!AF75,"AAAAAFr/b8U=")</f>
        <v>#VALUE!</v>
      </c>
      <c r="GQ15" t="e">
        <f>AND('WJP Rule of Law Index 2012-2013'!AG75,"AAAAAFr/b8Y=")</f>
        <v>#VALUE!</v>
      </c>
      <c r="GR15" t="e">
        <f>AND('WJP Rule of Law Index 2012-2013'!#REF!,"AAAAAFr/b8c=")</f>
        <v>#REF!</v>
      </c>
      <c r="GS15" t="e">
        <f>AND('WJP Rule of Law Index 2012-2013'!#REF!,"AAAAAFr/b8g=")</f>
        <v>#REF!</v>
      </c>
      <c r="GT15" t="e">
        <f>AND('WJP Rule of Law Index 2012-2013'!AH75,"AAAAAFr/b8k=")</f>
        <v>#VALUE!</v>
      </c>
      <c r="GU15" t="e">
        <f>AND('WJP Rule of Law Index 2012-2013'!AI75,"AAAAAFr/b8o=")</f>
        <v>#VALUE!</v>
      </c>
      <c r="GV15" t="e">
        <f>AND('WJP Rule of Law Index 2012-2013'!AJ75,"AAAAAFr/b8s=")</f>
        <v>#VALUE!</v>
      </c>
      <c r="GW15" t="e">
        <f>AND('WJP Rule of Law Index 2012-2013'!AK75,"AAAAAFr/b8w=")</f>
        <v>#VALUE!</v>
      </c>
      <c r="GX15" t="e">
        <f>AND('WJP Rule of Law Index 2012-2013'!AL75,"AAAAAFr/b80=")</f>
        <v>#VALUE!</v>
      </c>
      <c r="GY15" t="e">
        <f>AND('WJP Rule of Law Index 2012-2013'!AM75,"AAAAAFr/b84=")</f>
        <v>#VALUE!</v>
      </c>
      <c r="GZ15" t="e">
        <f>AND('WJP Rule of Law Index 2012-2013'!AN75,"AAAAAFr/b88=")</f>
        <v>#VALUE!</v>
      </c>
      <c r="HA15" t="e">
        <f>AND('WJP Rule of Law Index 2012-2013'!AO75,"AAAAAFr/b9A=")</f>
        <v>#VALUE!</v>
      </c>
      <c r="HB15" t="e">
        <f>AND('WJP Rule of Law Index 2012-2013'!AP75,"AAAAAFr/b9E=")</f>
        <v>#VALUE!</v>
      </c>
      <c r="HC15" t="e">
        <f>AND('WJP Rule of Law Index 2012-2013'!AQ75,"AAAAAFr/b9I=")</f>
        <v>#VALUE!</v>
      </c>
      <c r="HD15" t="e">
        <f>AND('WJP Rule of Law Index 2012-2013'!AR75,"AAAAAFr/b9M=")</f>
        <v>#VALUE!</v>
      </c>
      <c r="HE15" t="e">
        <f>AND('WJP Rule of Law Index 2012-2013'!AS75,"AAAAAFr/b9Q=")</f>
        <v>#VALUE!</v>
      </c>
      <c r="HF15" t="e">
        <f>AND('WJP Rule of Law Index 2012-2013'!AT75,"AAAAAFr/b9U=")</f>
        <v>#VALUE!</v>
      </c>
      <c r="HG15">
        <f>IF('WJP Rule of Law Index 2012-2013'!76:76,"AAAAAFr/b9Y=",0)</f>
        <v>0</v>
      </c>
      <c r="HH15" t="e">
        <f>AND('WJP Rule of Law Index 2012-2013'!A76,"AAAAAFr/b9c=")</f>
        <v>#VALUE!</v>
      </c>
      <c r="HI15" t="e">
        <f>AND('WJP Rule of Law Index 2012-2013'!B76,"AAAAAFr/b9g=")</f>
        <v>#VALUE!</v>
      </c>
      <c r="HJ15" t="e">
        <f>AND('WJP Rule of Law Index 2012-2013'!#REF!,"AAAAAFr/b9k=")</f>
        <v>#REF!</v>
      </c>
      <c r="HK15" t="e">
        <f>AND('WJP Rule of Law Index 2012-2013'!C76,"AAAAAFr/b9o=")</f>
        <v>#VALUE!</v>
      </c>
      <c r="HL15" t="e">
        <f>AND('WJP Rule of Law Index 2012-2013'!#REF!,"AAAAAFr/b9s=")</f>
        <v>#REF!</v>
      </c>
      <c r="HM15" t="e">
        <f>AND('WJP Rule of Law Index 2012-2013'!D76,"AAAAAFr/b9w=")</f>
        <v>#VALUE!</v>
      </c>
      <c r="HN15" t="e">
        <f>AND('WJP Rule of Law Index 2012-2013'!E76,"AAAAAFr/b90=")</f>
        <v>#VALUE!</v>
      </c>
      <c r="HO15" t="e">
        <f>AND('WJP Rule of Law Index 2012-2013'!F76,"AAAAAFr/b94=")</f>
        <v>#VALUE!</v>
      </c>
      <c r="HP15" t="e">
        <f>AND('WJP Rule of Law Index 2012-2013'!G76,"AAAAAFr/b98=")</f>
        <v>#VALUE!</v>
      </c>
      <c r="HQ15" t="e">
        <f>AND('WJP Rule of Law Index 2012-2013'!H76,"AAAAAFr/b+A=")</f>
        <v>#VALUE!</v>
      </c>
      <c r="HR15" t="e">
        <f>AND('WJP Rule of Law Index 2012-2013'!I76,"AAAAAFr/b+E=")</f>
        <v>#VALUE!</v>
      </c>
      <c r="HS15" t="e">
        <f>AND('WJP Rule of Law Index 2012-2013'!J76,"AAAAAFr/b+I=")</f>
        <v>#VALUE!</v>
      </c>
      <c r="HT15" t="e">
        <f>AND('WJP Rule of Law Index 2012-2013'!K76,"AAAAAFr/b+M=")</f>
        <v>#VALUE!</v>
      </c>
      <c r="HU15" t="e">
        <f>AND('WJP Rule of Law Index 2012-2013'!#REF!,"AAAAAFr/b+Q=")</f>
        <v>#REF!</v>
      </c>
      <c r="HV15" t="e">
        <f>AND('WJP Rule of Law Index 2012-2013'!#REF!,"AAAAAFr/b+U=")</f>
        <v>#REF!</v>
      </c>
      <c r="HW15" t="e">
        <f>AND('WJP Rule of Law Index 2012-2013'!#REF!,"AAAAAFr/b+Y=")</f>
        <v>#REF!</v>
      </c>
      <c r="HX15" t="e">
        <f>AND('WJP Rule of Law Index 2012-2013'!P76,"AAAAAFr/b+c=")</f>
        <v>#VALUE!</v>
      </c>
      <c r="HY15" t="e">
        <f>AND('WJP Rule of Law Index 2012-2013'!Q76,"AAAAAFr/b+g=")</f>
        <v>#VALUE!</v>
      </c>
      <c r="HZ15" t="e">
        <f>AND('WJP Rule of Law Index 2012-2013'!R76,"AAAAAFr/b+k=")</f>
        <v>#VALUE!</v>
      </c>
      <c r="IA15" t="e">
        <f>AND('WJP Rule of Law Index 2012-2013'!S76,"AAAAAFr/b+o=")</f>
        <v>#VALUE!</v>
      </c>
      <c r="IB15" t="e">
        <f>AND('WJP Rule of Law Index 2012-2013'!T76,"AAAAAFr/b+s=")</f>
        <v>#VALUE!</v>
      </c>
      <c r="IC15" t="e">
        <f>AND('WJP Rule of Law Index 2012-2013'!U76,"AAAAAFr/b+w=")</f>
        <v>#VALUE!</v>
      </c>
      <c r="ID15" t="e">
        <f>AND('WJP Rule of Law Index 2012-2013'!V76,"AAAAAFr/b+0=")</f>
        <v>#VALUE!</v>
      </c>
      <c r="IE15" t="e">
        <f>AND('WJP Rule of Law Index 2012-2013'!W76,"AAAAAFr/b+4=")</f>
        <v>#VALUE!</v>
      </c>
      <c r="IF15" t="e">
        <f>AND('WJP Rule of Law Index 2012-2013'!X76,"AAAAAFr/b+8=")</f>
        <v>#VALUE!</v>
      </c>
      <c r="IG15" t="e">
        <f>AND('WJP Rule of Law Index 2012-2013'!Y76,"AAAAAFr/b/A=")</f>
        <v>#VALUE!</v>
      </c>
      <c r="IH15" t="e">
        <f>AND('WJP Rule of Law Index 2012-2013'!Z76,"AAAAAFr/b/E=")</f>
        <v>#VALUE!</v>
      </c>
      <c r="II15" t="e">
        <f>AND('WJP Rule of Law Index 2012-2013'!AA76,"AAAAAFr/b/I=")</f>
        <v>#VALUE!</v>
      </c>
      <c r="IJ15" t="e">
        <f>AND('WJP Rule of Law Index 2012-2013'!AB76,"AAAAAFr/b/M=")</f>
        <v>#VALUE!</v>
      </c>
      <c r="IK15" t="e">
        <f>AND('WJP Rule of Law Index 2012-2013'!AC76,"AAAAAFr/b/Q=")</f>
        <v>#VALUE!</v>
      </c>
      <c r="IL15" t="e">
        <f>AND('WJP Rule of Law Index 2012-2013'!AD76,"AAAAAFr/b/U=")</f>
        <v>#VALUE!</v>
      </c>
      <c r="IM15" t="e">
        <f>AND('WJP Rule of Law Index 2012-2013'!AE76,"AAAAAFr/b/Y=")</f>
        <v>#VALUE!</v>
      </c>
      <c r="IN15" t="e">
        <f>AND('WJP Rule of Law Index 2012-2013'!AF76,"AAAAAFr/b/c=")</f>
        <v>#VALUE!</v>
      </c>
      <c r="IO15" t="e">
        <f>AND('WJP Rule of Law Index 2012-2013'!AG76,"AAAAAFr/b/g=")</f>
        <v>#VALUE!</v>
      </c>
      <c r="IP15" t="e">
        <f>AND('WJP Rule of Law Index 2012-2013'!#REF!,"AAAAAFr/b/k=")</f>
        <v>#REF!</v>
      </c>
      <c r="IQ15" t="e">
        <f>AND('WJP Rule of Law Index 2012-2013'!#REF!,"AAAAAFr/b/o=")</f>
        <v>#REF!</v>
      </c>
      <c r="IR15" t="e">
        <f>AND('WJP Rule of Law Index 2012-2013'!AH76,"AAAAAFr/b/s=")</f>
        <v>#VALUE!</v>
      </c>
      <c r="IS15" t="e">
        <f>AND('WJP Rule of Law Index 2012-2013'!AI76,"AAAAAFr/b/w=")</f>
        <v>#VALUE!</v>
      </c>
      <c r="IT15" t="e">
        <f>AND('WJP Rule of Law Index 2012-2013'!AJ76,"AAAAAFr/b/0=")</f>
        <v>#VALUE!</v>
      </c>
      <c r="IU15" t="e">
        <f>AND('WJP Rule of Law Index 2012-2013'!AK76,"AAAAAFr/b/4=")</f>
        <v>#VALUE!</v>
      </c>
      <c r="IV15" t="e">
        <f>AND('WJP Rule of Law Index 2012-2013'!AL76,"AAAAAFr/b/8=")</f>
        <v>#VALUE!</v>
      </c>
    </row>
    <row r="16" spans="1:256" ht="15">
      <c r="A16" t="e">
        <f>AND('WJP Rule of Law Index 2012-2013'!AM76,"AAAAAB29fwA=")</f>
        <v>#VALUE!</v>
      </c>
      <c r="B16" t="e">
        <f>AND('WJP Rule of Law Index 2012-2013'!AN76,"AAAAAB29fwE=")</f>
        <v>#VALUE!</v>
      </c>
      <c r="C16" t="e">
        <f>AND('WJP Rule of Law Index 2012-2013'!AO76,"AAAAAB29fwI=")</f>
        <v>#VALUE!</v>
      </c>
      <c r="D16" t="e">
        <f>AND('WJP Rule of Law Index 2012-2013'!AP76,"AAAAAB29fwM=")</f>
        <v>#VALUE!</v>
      </c>
      <c r="E16" t="e">
        <f>AND('WJP Rule of Law Index 2012-2013'!AQ76,"AAAAAB29fwQ=")</f>
        <v>#VALUE!</v>
      </c>
      <c r="F16" t="e">
        <f>AND('WJP Rule of Law Index 2012-2013'!AR76,"AAAAAB29fwU=")</f>
        <v>#VALUE!</v>
      </c>
      <c r="G16" t="e">
        <f>AND('WJP Rule of Law Index 2012-2013'!AS76,"AAAAAB29fwY=")</f>
        <v>#VALUE!</v>
      </c>
      <c r="H16" t="e">
        <f>AND('WJP Rule of Law Index 2012-2013'!AT76,"AAAAAB29fwc=")</f>
        <v>#VALUE!</v>
      </c>
      <c r="I16" t="str">
        <f>IF('WJP Rule of Law Index 2012-2013'!77:77,"AAAAAB29fwg=",0)</f>
        <v>AAAAAB29fwg=</v>
      </c>
      <c r="J16" t="e">
        <f>AND('WJP Rule of Law Index 2012-2013'!A77,"AAAAAB29fwk=")</f>
        <v>#VALUE!</v>
      </c>
      <c r="K16" t="e">
        <f>AND('WJP Rule of Law Index 2012-2013'!B77,"AAAAAB29fwo=")</f>
        <v>#VALUE!</v>
      </c>
      <c r="L16" t="e">
        <f>AND('WJP Rule of Law Index 2012-2013'!#REF!,"AAAAAB29fws=")</f>
        <v>#REF!</v>
      </c>
      <c r="M16" t="e">
        <f>AND('WJP Rule of Law Index 2012-2013'!C77,"AAAAAB29fww=")</f>
        <v>#VALUE!</v>
      </c>
      <c r="N16" t="e">
        <f>AND('WJP Rule of Law Index 2012-2013'!#REF!,"AAAAAB29fw0=")</f>
        <v>#REF!</v>
      </c>
      <c r="O16" t="e">
        <f>AND('WJP Rule of Law Index 2012-2013'!D77,"AAAAAB29fw4=")</f>
        <v>#VALUE!</v>
      </c>
      <c r="P16" t="e">
        <f>AND('WJP Rule of Law Index 2012-2013'!E77,"AAAAAB29fw8=")</f>
        <v>#VALUE!</v>
      </c>
      <c r="Q16" t="e">
        <f>AND('WJP Rule of Law Index 2012-2013'!F77,"AAAAAB29fxA=")</f>
        <v>#VALUE!</v>
      </c>
      <c r="R16" t="e">
        <f>AND('WJP Rule of Law Index 2012-2013'!G77,"AAAAAB29fxE=")</f>
        <v>#VALUE!</v>
      </c>
      <c r="S16" t="e">
        <f>AND('WJP Rule of Law Index 2012-2013'!H77,"AAAAAB29fxI=")</f>
        <v>#VALUE!</v>
      </c>
      <c r="T16" t="e">
        <f>AND('WJP Rule of Law Index 2012-2013'!I77,"AAAAAB29fxM=")</f>
        <v>#VALUE!</v>
      </c>
      <c r="U16" t="e">
        <f>AND('WJP Rule of Law Index 2012-2013'!J77,"AAAAAB29fxQ=")</f>
        <v>#VALUE!</v>
      </c>
      <c r="V16" t="e">
        <f>AND('WJP Rule of Law Index 2012-2013'!K77,"AAAAAB29fxU=")</f>
        <v>#VALUE!</v>
      </c>
      <c r="W16" t="e">
        <f>AND('WJP Rule of Law Index 2012-2013'!#REF!,"AAAAAB29fxY=")</f>
        <v>#REF!</v>
      </c>
      <c r="X16" t="e">
        <f>AND('WJP Rule of Law Index 2012-2013'!#REF!,"AAAAAB29fxc=")</f>
        <v>#REF!</v>
      </c>
      <c r="Y16" t="e">
        <f>AND('WJP Rule of Law Index 2012-2013'!#REF!,"AAAAAB29fxg=")</f>
        <v>#REF!</v>
      </c>
      <c r="Z16" t="e">
        <f>AND('WJP Rule of Law Index 2012-2013'!P77,"AAAAAB29fxk=")</f>
        <v>#VALUE!</v>
      </c>
      <c r="AA16" t="e">
        <f>AND('WJP Rule of Law Index 2012-2013'!Q77,"AAAAAB29fxo=")</f>
        <v>#VALUE!</v>
      </c>
      <c r="AB16" t="e">
        <f>AND('WJP Rule of Law Index 2012-2013'!R77,"AAAAAB29fxs=")</f>
        <v>#VALUE!</v>
      </c>
      <c r="AC16" t="e">
        <f>AND('WJP Rule of Law Index 2012-2013'!S77,"AAAAAB29fxw=")</f>
        <v>#VALUE!</v>
      </c>
      <c r="AD16" t="e">
        <f>AND('WJP Rule of Law Index 2012-2013'!T77,"AAAAAB29fx0=")</f>
        <v>#VALUE!</v>
      </c>
      <c r="AE16" t="e">
        <f>AND('WJP Rule of Law Index 2012-2013'!U77,"AAAAAB29fx4=")</f>
        <v>#VALUE!</v>
      </c>
      <c r="AF16" t="e">
        <f>AND('WJP Rule of Law Index 2012-2013'!V77,"AAAAAB29fx8=")</f>
        <v>#VALUE!</v>
      </c>
      <c r="AG16" t="e">
        <f>AND('WJP Rule of Law Index 2012-2013'!W77,"AAAAAB29fyA=")</f>
        <v>#VALUE!</v>
      </c>
      <c r="AH16" t="e">
        <f>AND('WJP Rule of Law Index 2012-2013'!X77,"AAAAAB29fyE=")</f>
        <v>#VALUE!</v>
      </c>
      <c r="AI16" t="e">
        <f>AND('WJP Rule of Law Index 2012-2013'!Y77,"AAAAAB29fyI=")</f>
        <v>#VALUE!</v>
      </c>
      <c r="AJ16" t="e">
        <f>AND('WJP Rule of Law Index 2012-2013'!Z77,"AAAAAB29fyM=")</f>
        <v>#VALUE!</v>
      </c>
      <c r="AK16" t="e">
        <f>AND('WJP Rule of Law Index 2012-2013'!AA77,"AAAAAB29fyQ=")</f>
        <v>#VALUE!</v>
      </c>
      <c r="AL16" t="e">
        <f>AND('WJP Rule of Law Index 2012-2013'!AB77,"AAAAAB29fyU=")</f>
        <v>#VALUE!</v>
      </c>
      <c r="AM16" t="e">
        <f>AND('WJP Rule of Law Index 2012-2013'!AC77,"AAAAAB29fyY=")</f>
        <v>#VALUE!</v>
      </c>
      <c r="AN16" t="e">
        <f>AND('WJP Rule of Law Index 2012-2013'!AD77,"AAAAAB29fyc=")</f>
        <v>#VALUE!</v>
      </c>
      <c r="AO16" t="e">
        <f>AND('WJP Rule of Law Index 2012-2013'!AE77,"AAAAAB29fyg=")</f>
        <v>#VALUE!</v>
      </c>
      <c r="AP16" t="e">
        <f>AND('WJP Rule of Law Index 2012-2013'!AF77,"AAAAAB29fyk=")</f>
        <v>#VALUE!</v>
      </c>
      <c r="AQ16" t="e">
        <f>AND('WJP Rule of Law Index 2012-2013'!AG77,"AAAAAB29fyo=")</f>
        <v>#VALUE!</v>
      </c>
      <c r="AR16" t="e">
        <f>AND('WJP Rule of Law Index 2012-2013'!#REF!,"AAAAAB29fys=")</f>
        <v>#REF!</v>
      </c>
      <c r="AS16" t="e">
        <f>AND('WJP Rule of Law Index 2012-2013'!#REF!,"AAAAAB29fyw=")</f>
        <v>#REF!</v>
      </c>
      <c r="AT16" t="e">
        <f>AND('WJP Rule of Law Index 2012-2013'!AH77,"AAAAAB29fy0=")</f>
        <v>#VALUE!</v>
      </c>
      <c r="AU16" t="e">
        <f>AND('WJP Rule of Law Index 2012-2013'!AI77,"AAAAAB29fy4=")</f>
        <v>#VALUE!</v>
      </c>
      <c r="AV16" t="e">
        <f>AND('WJP Rule of Law Index 2012-2013'!AJ77,"AAAAAB29fy8=")</f>
        <v>#VALUE!</v>
      </c>
      <c r="AW16" t="e">
        <f>AND('WJP Rule of Law Index 2012-2013'!AK77,"AAAAAB29fzA=")</f>
        <v>#VALUE!</v>
      </c>
      <c r="AX16" t="e">
        <f>AND('WJP Rule of Law Index 2012-2013'!AL77,"AAAAAB29fzE=")</f>
        <v>#VALUE!</v>
      </c>
      <c r="AY16" t="e">
        <f>AND('WJP Rule of Law Index 2012-2013'!AM77,"AAAAAB29fzI=")</f>
        <v>#VALUE!</v>
      </c>
      <c r="AZ16" t="e">
        <f>AND('WJP Rule of Law Index 2012-2013'!AN77,"AAAAAB29fzM=")</f>
        <v>#VALUE!</v>
      </c>
      <c r="BA16" t="e">
        <f>AND('WJP Rule of Law Index 2012-2013'!AO77,"AAAAAB29fzQ=")</f>
        <v>#VALUE!</v>
      </c>
      <c r="BB16" t="e">
        <f>AND('WJP Rule of Law Index 2012-2013'!AP77,"AAAAAB29fzU=")</f>
        <v>#VALUE!</v>
      </c>
      <c r="BC16" t="e">
        <f>AND('WJP Rule of Law Index 2012-2013'!AQ77,"AAAAAB29fzY=")</f>
        <v>#VALUE!</v>
      </c>
      <c r="BD16" t="e">
        <f>AND('WJP Rule of Law Index 2012-2013'!AR77,"AAAAAB29fzc=")</f>
        <v>#VALUE!</v>
      </c>
      <c r="BE16" t="e">
        <f>AND('WJP Rule of Law Index 2012-2013'!AS77,"AAAAAB29fzg=")</f>
        <v>#VALUE!</v>
      </c>
      <c r="BF16" t="e">
        <f>AND('WJP Rule of Law Index 2012-2013'!AT77,"AAAAAB29fzk=")</f>
        <v>#VALUE!</v>
      </c>
      <c r="BG16">
        <f>IF('WJP Rule of Law Index 2012-2013'!78:78,"AAAAAB29fzo=",0)</f>
        <v>0</v>
      </c>
      <c r="BH16" t="e">
        <f>AND('WJP Rule of Law Index 2012-2013'!A78,"AAAAAB29fzs=")</f>
        <v>#VALUE!</v>
      </c>
      <c r="BI16" t="e">
        <f>AND('WJP Rule of Law Index 2012-2013'!B78,"AAAAAB29fzw=")</f>
        <v>#VALUE!</v>
      </c>
      <c r="BJ16" t="e">
        <f>AND('WJP Rule of Law Index 2012-2013'!#REF!,"AAAAAB29fz0=")</f>
        <v>#REF!</v>
      </c>
      <c r="BK16" t="e">
        <f>AND('WJP Rule of Law Index 2012-2013'!C78,"AAAAAB29fz4=")</f>
        <v>#VALUE!</v>
      </c>
      <c r="BL16" t="e">
        <f>AND('WJP Rule of Law Index 2012-2013'!#REF!,"AAAAAB29fz8=")</f>
        <v>#REF!</v>
      </c>
      <c r="BM16" t="e">
        <f>AND('WJP Rule of Law Index 2012-2013'!D78,"AAAAAB29f0A=")</f>
        <v>#VALUE!</v>
      </c>
      <c r="BN16" t="e">
        <f>AND('WJP Rule of Law Index 2012-2013'!E78,"AAAAAB29f0E=")</f>
        <v>#VALUE!</v>
      </c>
      <c r="BO16" t="e">
        <f>AND('WJP Rule of Law Index 2012-2013'!F78,"AAAAAB29f0I=")</f>
        <v>#VALUE!</v>
      </c>
      <c r="BP16" t="e">
        <f>AND('WJP Rule of Law Index 2012-2013'!G78,"AAAAAB29f0M=")</f>
        <v>#VALUE!</v>
      </c>
      <c r="BQ16" t="e">
        <f>AND('WJP Rule of Law Index 2012-2013'!H78,"AAAAAB29f0Q=")</f>
        <v>#VALUE!</v>
      </c>
      <c r="BR16" t="e">
        <f>AND('WJP Rule of Law Index 2012-2013'!I78,"AAAAAB29f0U=")</f>
        <v>#VALUE!</v>
      </c>
      <c r="BS16" t="e">
        <f>AND('WJP Rule of Law Index 2012-2013'!J78,"AAAAAB29f0Y=")</f>
        <v>#VALUE!</v>
      </c>
      <c r="BT16" t="e">
        <f>AND('WJP Rule of Law Index 2012-2013'!K78,"AAAAAB29f0c=")</f>
        <v>#VALUE!</v>
      </c>
      <c r="BU16" t="e">
        <f>AND('WJP Rule of Law Index 2012-2013'!#REF!,"AAAAAB29f0g=")</f>
        <v>#REF!</v>
      </c>
      <c r="BV16" t="e">
        <f>AND('WJP Rule of Law Index 2012-2013'!#REF!,"AAAAAB29f0k=")</f>
        <v>#REF!</v>
      </c>
      <c r="BW16" t="e">
        <f>AND('WJP Rule of Law Index 2012-2013'!#REF!,"AAAAAB29f0o=")</f>
        <v>#REF!</v>
      </c>
      <c r="BX16" t="e">
        <f>AND('WJP Rule of Law Index 2012-2013'!P78,"AAAAAB29f0s=")</f>
        <v>#VALUE!</v>
      </c>
      <c r="BY16" t="e">
        <f>AND('WJP Rule of Law Index 2012-2013'!Q78,"AAAAAB29f0w=")</f>
        <v>#VALUE!</v>
      </c>
      <c r="BZ16" t="e">
        <f>AND('WJP Rule of Law Index 2012-2013'!R78,"AAAAAB29f00=")</f>
        <v>#VALUE!</v>
      </c>
      <c r="CA16" t="e">
        <f>AND('WJP Rule of Law Index 2012-2013'!S78,"AAAAAB29f04=")</f>
        <v>#VALUE!</v>
      </c>
      <c r="CB16" t="e">
        <f>AND('WJP Rule of Law Index 2012-2013'!T78,"AAAAAB29f08=")</f>
        <v>#VALUE!</v>
      </c>
      <c r="CC16" t="e">
        <f>AND('WJP Rule of Law Index 2012-2013'!U78,"AAAAAB29f1A=")</f>
        <v>#VALUE!</v>
      </c>
      <c r="CD16" t="e">
        <f>AND('WJP Rule of Law Index 2012-2013'!V78,"AAAAAB29f1E=")</f>
        <v>#VALUE!</v>
      </c>
      <c r="CE16" t="e">
        <f>AND('WJP Rule of Law Index 2012-2013'!W78,"AAAAAB29f1I=")</f>
        <v>#VALUE!</v>
      </c>
      <c r="CF16" t="e">
        <f>AND('WJP Rule of Law Index 2012-2013'!X78,"AAAAAB29f1M=")</f>
        <v>#VALUE!</v>
      </c>
      <c r="CG16" t="e">
        <f>AND('WJP Rule of Law Index 2012-2013'!Y78,"AAAAAB29f1Q=")</f>
        <v>#VALUE!</v>
      </c>
      <c r="CH16" t="e">
        <f>AND('WJP Rule of Law Index 2012-2013'!Z78,"AAAAAB29f1U=")</f>
        <v>#VALUE!</v>
      </c>
      <c r="CI16" t="e">
        <f>AND('WJP Rule of Law Index 2012-2013'!AA78,"AAAAAB29f1Y=")</f>
        <v>#VALUE!</v>
      </c>
      <c r="CJ16" t="e">
        <f>AND('WJP Rule of Law Index 2012-2013'!AB78,"AAAAAB29f1c=")</f>
        <v>#VALUE!</v>
      </c>
      <c r="CK16" t="e">
        <f>AND('WJP Rule of Law Index 2012-2013'!AC78,"AAAAAB29f1g=")</f>
        <v>#VALUE!</v>
      </c>
      <c r="CL16" t="e">
        <f>AND('WJP Rule of Law Index 2012-2013'!AD78,"AAAAAB29f1k=")</f>
        <v>#VALUE!</v>
      </c>
      <c r="CM16" t="e">
        <f>AND('WJP Rule of Law Index 2012-2013'!AE78,"AAAAAB29f1o=")</f>
        <v>#VALUE!</v>
      </c>
      <c r="CN16" t="e">
        <f>AND('WJP Rule of Law Index 2012-2013'!AF78,"AAAAAB29f1s=")</f>
        <v>#VALUE!</v>
      </c>
      <c r="CO16" t="e">
        <f>AND('WJP Rule of Law Index 2012-2013'!AG78,"AAAAAB29f1w=")</f>
        <v>#VALUE!</v>
      </c>
      <c r="CP16" t="e">
        <f>AND('WJP Rule of Law Index 2012-2013'!#REF!,"AAAAAB29f10=")</f>
        <v>#REF!</v>
      </c>
      <c r="CQ16" t="e">
        <f>AND('WJP Rule of Law Index 2012-2013'!#REF!,"AAAAAB29f14=")</f>
        <v>#REF!</v>
      </c>
      <c r="CR16" t="e">
        <f>AND('WJP Rule of Law Index 2012-2013'!AH78,"AAAAAB29f18=")</f>
        <v>#VALUE!</v>
      </c>
      <c r="CS16" t="e">
        <f>AND('WJP Rule of Law Index 2012-2013'!AI78,"AAAAAB29f2A=")</f>
        <v>#VALUE!</v>
      </c>
      <c r="CT16" t="e">
        <f>AND('WJP Rule of Law Index 2012-2013'!AJ78,"AAAAAB29f2E=")</f>
        <v>#VALUE!</v>
      </c>
      <c r="CU16" t="e">
        <f>AND('WJP Rule of Law Index 2012-2013'!AK78,"AAAAAB29f2I=")</f>
        <v>#VALUE!</v>
      </c>
      <c r="CV16" t="e">
        <f>AND('WJP Rule of Law Index 2012-2013'!AL78,"AAAAAB29f2M=")</f>
        <v>#VALUE!</v>
      </c>
      <c r="CW16" t="e">
        <f>AND('WJP Rule of Law Index 2012-2013'!AM78,"AAAAAB29f2Q=")</f>
        <v>#VALUE!</v>
      </c>
      <c r="CX16" t="e">
        <f>AND('WJP Rule of Law Index 2012-2013'!AN78,"AAAAAB29f2U=")</f>
        <v>#VALUE!</v>
      </c>
      <c r="CY16" t="e">
        <f>AND('WJP Rule of Law Index 2012-2013'!AO78,"AAAAAB29f2Y=")</f>
        <v>#VALUE!</v>
      </c>
      <c r="CZ16" t="e">
        <f>AND('WJP Rule of Law Index 2012-2013'!AP78,"AAAAAB29f2c=")</f>
        <v>#VALUE!</v>
      </c>
      <c r="DA16" t="e">
        <f>AND('WJP Rule of Law Index 2012-2013'!AQ78,"AAAAAB29f2g=")</f>
        <v>#VALUE!</v>
      </c>
      <c r="DB16" t="e">
        <f>AND('WJP Rule of Law Index 2012-2013'!AR78,"AAAAAB29f2k=")</f>
        <v>#VALUE!</v>
      </c>
      <c r="DC16" t="e">
        <f>AND('WJP Rule of Law Index 2012-2013'!AS78,"AAAAAB29f2o=")</f>
        <v>#VALUE!</v>
      </c>
      <c r="DD16" t="e">
        <f>AND('WJP Rule of Law Index 2012-2013'!AT78,"AAAAAB29f2s=")</f>
        <v>#VALUE!</v>
      </c>
      <c r="DE16">
        <f>IF('WJP Rule of Law Index 2012-2013'!79:79,"AAAAAB29f2w=",0)</f>
        <v>0</v>
      </c>
      <c r="DF16" t="e">
        <f>AND('WJP Rule of Law Index 2012-2013'!A79,"AAAAAB29f20=")</f>
        <v>#VALUE!</v>
      </c>
      <c r="DG16" t="e">
        <f>AND('WJP Rule of Law Index 2012-2013'!B79,"AAAAAB29f24=")</f>
        <v>#VALUE!</v>
      </c>
      <c r="DH16" t="e">
        <f>AND('WJP Rule of Law Index 2012-2013'!#REF!,"AAAAAB29f28=")</f>
        <v>#REF!</v>
      </c>
      <c r="DI16" t="e">
        <f>AND('WJP Rule of Law Index 2012-2013'!C79,"AAAAAB29f3A=")</f>
        <v>#VALUE!</v>
      </c>
      <c r="DJ16" t="e">
        <f>AND('WJP Rule of Law Index 2012-2013'!#REF!,"AAAAAB29f3E=")</f>
        <v>#REF!</v>
      </c>
      <c r="DK16" t="e">
        <f>AND('WJP Rule of Law Index 2012-2013'!D79,"AAAAAB29f3I=")</f>
        <v>#VALUE!</v>
      </c>
      <c r="DL16" t="e">
        <f>AND('WJP Rule of Law Index 2012-2013'!E79,"AAAAAB29f3M=")</f>
        <v>#VALUE!</v>
      </c>
      <c r="DM16" t="e">
        <f>AND('WJP Rule of Law Index 2012-2013'!F79,"AAAAAB29f3Q=")</f>
        <v>#VALUE!</v>
      </c>
      <c r="DN16" t="e">
        <f>AND('WJP Rule of Law Index 2012-2013'!G79,"AAAAAB29f3U=")</f>
        <v>#VALUE!</v>
      </c>
      <c r="DO16" t="e">
        <f>AND('WJP Rule of Law Index 2012-2013'!H79,"AAAAAB29f3Y=")</f>
        <v>#VALUE!</v>
      </c>
      <c r="DP16" t="e">
        <f>AND('WJP Rule of Law Index 2012-2013'!I79,"AAAAAB29f3c=")</f>
        <v>#VALUE!</v>
      </c>
      <c r="DQ16" t="e">
        <f>AND('WJP Rule of Law Index 2012-2013'!J79,"AAAAAB29f3g=")</f>
        <v>#VALUE!</v>
      </c>
      <c r="DR16" t="e">
        <f>AND('WJP Rule of Law Index 2012-2013'!K79,"AAAAAB29f3k=")</f>
        <v>#VALUE!</v>
      </c>
      <c r="DS16" t="e">
        <f>AND('WJP Rule of Law Index 2012-2013'!#REF!,"AAAAAB29f3o=")</f>
        <v>#REF!</v>
      </c>
      <c r="DT16" t="e">
        <f>AND('WJP Rule of Law Index 2012-2013'!#REF!,"AAAAAB29f3s=")</f>
        <v>#REF!</v>
      </c>
      <c r="DU16" t="e">
        <f>AND('WJP Rule of Law Index 2012-2013'!#REF!,"AAAAAB29f3w=")</f>
        <v>#REF!</v>
      </c>
      <c r="DV16" t="e">
        <f>AND('WJP Rule of Law Index 2012-2013'!P79,"AAAAAB29f30=")</f>
        <v>#VALUE!</v>
      </c>
      <c r="DW16" t="e">
        <f>AND('WJP Rule of Law Index 2012-2013'!Q79,"AAAAAB29f34=")</f>
        <v>#VALUE!</v>
      </c>
      <c r="DX16" t="e">
        <f>AND('WJP Rule of Law Index 2012-2013'!R79,"AAAAAB29f38=")</f>
        <v>#VALUE!</v>
      </c>
      <c r="DY16" t="e">
        <f>AND('WJP Rule of Law Index 2012-2013'!S79,"AAAAAB29f4A=")</f>
        <v>#VALUE!</v>
      </c>
      <c r="DZ16" t="e">
        <f>AND('WJP Rule of Law Index 2012-2013'!T79,"AAAAAB29f4E=")</f>
        <v>#VALUE!</v>
      </c>
      <c r="EA16" t="e">
        <f>AND('WJP Rule of Law Index 2012-2013'!U79,"AAAAAB29f4I=")</f>
        <v>#VALUE!</v>
      </c>
      <c r="EB16" t="e">
        <f>AND('WJP Rule of Law Index 2012-2013'!V79,"AAAAAB29f4M=")</f>
        <v>#VALUE!</v>
      </c>
      <c r="EC16" t="e">
        <f>AND('WJP Rule of Law Index 2012-2013'!W79,"AAAAAB29f4Q=")</f>
        <v>#VALUE!</v>
      </c>
      <c r="ED16" t="e">
        <f>AND('WJP Rule of Law Index 2012-2013'!X79,"AAAAAB29f4U=")</f>
        <v>#VALUE!</v>
      </c>
      <c r="EE16" t="e">
        <f>AND('WJP Rule of Law Index 2012-2013'!Y79,"AAAAAB29f4Y=")</f>
        <v>#VALUE!</v>
      </c>
      <c r="EF16" t="e">
        <f>AND('WJP Rule of Law Index 2012-2013'!Z79,"AAAAAB29f4c=")</f>
        <v>#VALUE!</v>
      </c>
      <c r="EG16" t="e">
        <f>AND('WJP Rule of Law Index 2012-2013'!AA79,"AAAAAB29f4g=")</f>
        <v>#VALUE!</v>
      </c>
      <c r="EH16" t="e">
        <f>AND('WJP Rule of Law Index 2012-2013'!AB79,"AAAAAB29f4k=")</f>
        <v>#VALUE!</v>
      </c>
      <c r="EI16" t="e">
        <f>AND('WJP Rule of Law Index 2012-2013'!AC79,"AAAAAB29f4o=")</f>
        <v>#VALUE!</v>
      </c>
      <c r="EJ16" t="e">
        <f>AND('WJP Rule of Law Index 2012-2013'!AD79,"AAAAAB29f4s=")</f>
        <v>#VALUE!</v>
      </c>
      <c r="EK16" t="e">
        <f>AND('WJP Rule of Law Index 2012-2013'!AE79,"AAAAAB29f4w=")</f>
        <v>#VALUE!</v>
      </c>
      <c r="EL16" t="e">
        <f>AND('WJP Rule of Law Index 2012-2013'!AF79,"AAAAAB29f40=")</f>
        <v>#VALUE!</v>
      </c>
      <c r="EM16" t="e">
        <f>AND('WJP Rule of Law Index 2012-2013'!AG79,"AAAAAB29f44=")</f>
        <v>#VALUE!</v>
      </c>
      <c r="EN16" t="e">
        <f>AND('WJP Rule of Law Index 2012-2013'!#REF!,"AAAAAB29f48=")</f>
        <v>#REF!</v>
      </c>
      <c r="EO16" t="e">
        <f>AND('WJP Rule of Law Index 2012-2013'!#REF!,"AAAAAB29f5A=")</f>
        <v>#REF!</v>
      </c>
      <c r="EP16" t="e">
        <f>AND('WJP Rule of Law Index 2012-2013'!AH79,"AAAAAB29f5E=")</f>
        <v>#VALUE!</v>
      </c>
      <c r="EQ16" t="e">
        <f>AND('WJP Rule of Law Index 2012-2013'!AI79,"AAAAAB29f5I=")</f>
        <v>#VALUE!</v>
      </c>
      <c r="ER16" t="e">
        <f>AND('WJP Rule of Law Index 2012-2013'!AJ79,"AAAAAB29f5M=")</f>
        <v>#VALUE!</v>
      </c>
      <c r="ES16" t="e">
        <f>AND('WJP Rule of Law Index 2012-2013'!AK79,"AAAAAB29f5Q=")</f>
        <v>#VALUE!</v>
      </c>
      <c r="ET16" t="e">
        <f>AND('WJP Rule of Law Index 2012-2013'!AL79,"AAAAAB29f5U=")</f>
        <v>#VALUE!</v>
      </c>
      <c r="EU16" t="e">
        <f>AND('WJP Rule of Law Index 2012-2013'!AM79,"AAAAAB29f5Y=")</f>
        <v>#VALUE!</v>
      </c>
      <c r="EV16" t="e">
        <f>AND('WJP Rule of Law Index 2012-2013'!AN79,"AAAAAB29f5c=")</f>
        <v>#VALUE!</v>
      </c>
      <c r="EW16" t="e">
        <f>AND('WJP Rule of Law Index 2012-2013'!AO79,"AAAAAB29f5g=")</f>
        <v>#VALUE!</v>
      </c>
      <c r="EX16" t="e">
        <f>AND('WJP Rule of Law Index 2012-2013'!AP79,"AAAAAB29f5k=")</f>
        <v>#VALUE!</v>
      </c>
      <c r="EY16" t="e">
        <f>AND('WJP Rule of Law Index 2012-2013'!AQ79,"AAAAAB29f5o=")</f>
        <v>#VALUE!</v>
      </c>
      <c r="EZ16" t="e">
        <f>AND('WJP Rule of Law Index 2012-2013'!AR79,"AAAAAB29f5s=")</f>
        <v>#VALUE!</v>
      </c>
      <c r="FA16" t="e">
        <f>AND('WJP Rule of Law Index 2012-2013'!AS79,"AAAAAB29f5w=")</f>
        <v>#VALUE!</v>
      </c>
      <c r="FB16" t="e">
        <f>AND('WJP Rule of Law Index 2012-2013'!AT79,"AAAAAB29f50=")</f>
        <v>#VALUE!</v>
      </c>
      <c r="FC16">
        <f>IF('WJP Rule of Law Index 2012-2013'!80:80,"AAAAAB29f54=",0)</f>
        <v>0</v>
      </c>
      <c r="FD16" t="e">
        <f>AND('WJP Rule of Law Index 2012-2013'!A80,"AAAAAB29f58=")</f>
        <v>#VALUE!</v>
      </c>
      <c r="FE16" t="e">
        <f>AND('WJP Rule of Law Index 2012-2013'!B80,"AAAAAB29f6A=")</f>
        <v>#VALUE!</v>
      </c>
      <c r="FF16" t="e">
        <f>AND('WJP Rule of Law Index 2012-2013'!#REF!,"AAAAAB29f6E=")</f>
        <v>#REF!</v>
      </c>
      <c r="FG16" t="e">
        <f>AND('WJP Rule of Law Index 2012-2013'!C80,"AAAAAB29f6I=")</f>
        <v>#VALUE!</v>
      </c>
      <c r="FH16" t="e">
        <f>AND('WJP Rule of Law Index 2012-2013'!#REF!,"AAAAAB29f6M=")</f>
        <v>#REF!</v>
      </c>
      <c r="FI16" t="e">
        <f>AND('WJP Rule of Law Index 2012-2013'!D80,"AAAAAB29f6Q=")</f>
        <v>#VALUE!</v>
      </c>
      <c r="FJ16" t="e">
        <f>AND('WJP Rule of Law Index 2012-2013'!E80,"AAAAAB29f6U=")</f>
        <v>#VALUE!</v>
      </c>
      <c r="FK16" t="e">
        <f>AND('WJP Rule of Law Index 2012-2013'!F80,"AAAAAB29f6Y=")</f>
        <v>#VALUE!</v>
      </c>
      <c r="FL16" t="e">
        <f>AND('WJP Rule of Law Index 2012-2013'!G80,"AAAAAB29f6c=")</f>
        <v>#VALUE!</v>
      </c>
      <c r="FM16" t="e">
        <f>AND('WJP Rule of Law Index 2012-2013'!H80,"AAAAAB29f6g=")</f>
        <v>#VALUE!</v>
      </c>
      <c r="FN16" t="e">
        <f>AND('WJP Rule of Law Index 2012-2013'!I80,"AAAAAB29f6k=")</f>
        <v>#VALUE!</v>
      </c>
      <c r="FO16" t="e">
        <f>AND('WJP Rule of Law Index 2012-2013'!J80,"AAAAAB29f6o=")</f>
        <v>#VALUE!</v>
      </c>
      <c r="FP16" t="e">
        <f>AND('WJP Rule of Law Index 2012-2013'!K80,"AAAAAB29f6s=")</f>
        <v>#VALUE!</v>
      </c>
      <c r="FQ16" t="e">
        <f>AND('WJP Rule of Law Index 2012-2013'!#REF!,"AAAAAB29f6w=")</f>
        <v>#REF!</v>
      </c>
      <c r="FR16" t="e">
        <f>AND('WJP Rule of Law Index 2012-2013'!#REF!,"AAAAAB29f60=")</f>
        <v>#REF!</v>
      </c>
      <c r="FS16" t="e">
        <f>AND('WJP Rule of Law Index 2012-2013'!#REF!,"AAAAAB29f64=")</f>
        <v>#REF!</v>
      </c>
      <c r="FT16" t="e">
        <f>AND('WJP Rule of Law Index 2012-2013'!P80,"AAAAAB29f68=")</f>
        <v>#VALUE!</v>
      </c>
      <c r="FU16" t="e">
        <f>AND('WJP Rule of Law Index 2012-2013'!Q80,"AAAAAB29f7A=")</f>
        <v>#VALUE!</v>
      </c>
      <c r="FV16" t="e">
        <f>AND('WJP Rule of Law Index 2012-2013'!R80,"AAAAAB29f7E=")</f>
        <v>#VALUE!</v>
      </c>
      <c r="FW16" t="e">
        <f>AND('WJP Rule of Law Index 2012-2013'!S80,"AAAAAB29f7I=")</f>
        <v>#VALUE!</v>
      </c>
      <c r="FX16" t="e">
        <f>AND('WJP Rule of Law Index 2012-2013'!T80,"AAAAAB29f7M=")</f>
        <v>#VALUE!</v>
      </c>
      <c r="FY16" t="e">
        <f>AND('WJP Rule of Law Index 2012-2013'!U80,"AAAAAB29f7Q=")</f>
        <v>#VALUE!</v>
      </c>
      <c r="FZ16" t="e">
        <f>AND('WJP Rule of Law Index 2012-2013'!V80,"AAAAAB29f7U=")</f>
        <v>#VALUE!</v>
      </c>
      <c r="GA16" t="e">
        <f>AND('WJP Rule of Law Index 2012-2013'!W80,"AAAAAB29f7Y=")</f>
        <v>#VALUE!</v>
      </c>
      <c r="GB16" t="e">
        <f>AND('WJP Rule of Law Index 2012-2013'!X80,"AAAAAB29f7c=")</f>
        <v>#VALUE!</v>
      </c>
      <c r="GC16" t="e">
        <f>AND('WJP Rule of Law Index 2012-2013'!Y80,"AAAAAB29f7g=")</f>
        <v>#VALUE!</v>
      </c>
      <c r="GD16" t="e">
        <f>AND('WJP Rule of Law Index 2012-2013'!Z80,"AAAAAB29f7k=")</f>
        <v>#VALUE!</v>
      </c>
      <c r="GE16" t="e">
        <f>AND('WJP Rule of Law Index 2012-2013'!AA80,"AAAAAB29f7o=")</f>
        <v>#VALUE!</v>
      </c>
      <c r="GF16" t="e">
        <f>AND('WJP Rule of Law Index 2012-2013'!AB80,"AAAAAB29f7s=")</f>
        <v>#VALUE!</v>
      </c>
      <c r="GG16" t="e">
        <f>AND('WJP Rule of Law Index 2012-2013'!AC80,"AAAAAB29f7w=")</f>
        <v>#VALUE!</v>
      </c>
      <c r="GH16" t="e">
        <f>AND('WJP Rule of Law Index 2012-2013'!AD80,"AAAAAB29f70=")</f>
        <v>#VALUE!</v>
      </c>
      <c r="GI16" t="e">
        <f>AND('WJP Rule of Law Index 2012-2013'!AE80,"AAAAAB29f74=")</f>
        <v>#VALUE!</v>
      </c>
      <c r="GJ16" t="e">
        <f>AND('WJP Rule of Law Index 2012-2013'!AF80,"AAAAAB29f78=")</f>
        <v>#VALUE!</v>
      </c>
      <c r="GK16" t="e">
        <f>AND('WJP Rule of Law Index 2012-2013'!AG80,"AAAAAB29f8A=")</f>
        <v>#VALUE!</v>
      </c>
      <c r="GL16" t="e">
        <f>AND('WJP Rule of Law Index 2012-2013'!#REF!,"AAAAAB29f8E=")</f>
        <v>#REF!</v>
      </c>
      <c r="GM16" t="e">
        <f>AND('WJP Rule of Law Index 2012-2013'!#REF!,"AAAAAB29f8I=")</f>
        <v>#REF!</v>
      </c>
      <c r="GN16" t="e">
        <f>AND('WJP Rule of Law Index 2012-2013'!AH80,"AAAAAB29f8M=")</f>
        <v>#VALUE!</v>
      </c>
      <c r="GO16" t="e">
        <f>AND('WJP Rule of Law Index 2012-2013'!AI80,"AAAAAB29f8Q=")</f>
        <v>#VALUE!</v>
      </c>
      <c r="GP16" t="e">
        <f>AND('WJP Rule of Law Index 2012-2013'!AJ80,"AAAAAB29f8U=")</f>
        <v>#VALUE!</v>
      </c>
      <c r="GQ16" t="e">
        <f>AND('WJP Rule of Law Index 2012-2013'!AK80,"AAAAAB29f8Y=")</f>
        <v>#VALUE!</v>
      </c>
      <c r="GR16" t="e">
        <f>AND('WJP Rule of Law Index 2012-2013'!AL80,"AAAAAB29f8c=")</f>
        <v>#VALUE!</v>
      </c>
      <c r="GS16" t="e">
        <f>AND('WJP Rule of Law Index 2012-2013'!AM80,"AAAAAB29f8g=")</f>
        <v>#VALUE!</v>
      </c>
      <c r="GT16" t="e">
        <f>AND('WJP Rule of Law Index 2012-2013'!AN80,"AAAAAB29f8k=")</f>
        <v>#VALUE!</v>
      </c>
      <c r="GU16" t="e">
        <f>AND('WJP Rule of Law Index 2012-2013'!AO80,"AAAAAB29f8o=")</f>
        <v>#VALUE!</v>
      </c>
      <c r="GV16" t="e">
        <f>AND('WJP Rule of Law Index 2012-2013'!AP80,"AAAAAB29f8s=")</f>
        <v>#VALUE!</v>
      </c>
      <c r="GW16" t="e">
        <f>AND('WJP Rule of Law Index 2012-2013'!AQ80,"AAAAAB29f8w=")</f>
        <v>#VALUE!</v>
      </c>
      <c r="GX16" t="e">
        <f>AND('WJP Rule of Law Index 2012-2013'!AR80,"AAAAAB29f80=")</f>
        <v>#VALUE!</v>
      </c>
      <c r="GY16" t="e">
        <f>AND('WJP Rule of Law Index 2012-2013'!AS80,"AAAAAB29f84=")</f>
        <v>#VALUE!</v>
      </c>
      <c r="GZ16" t="e">
        <f>AND('WJP Rule of Law Index 2012-2013'!AT80,"AAAAAB29f88=")</f>
        <v>#VALUE!</v>
      </c>
      <c r="HA16">
        <f>IF('WJP Rule of Law Index 2012-2013'!81:81,"AAAAAB29f9A=",0)</f>
        <v>0</v>
      </c>
      <c r="HB16" t="e">
        <f>AND('WJP Rule of Law Index 2012-2013'!A81,"AAAAAB29f9E=")</f>
        <v>#VALUE!</v>
      </c>
      <c r="HC16" t="e">
        <f>AND('WJP Rule of Law Index 2012-2013'!B81,"AAAAAB29f9I=")</f>
        <v>#VALUE!</v>
      </c>
      <c r="HD16" t="e">
        <f>AND('WJP Rule of Law Index 2012-2013'!#REF!,"AAAAAB29f9M=")</f>
        <v>#REF!</v>
      </c>
      <c r="HE16" t="e">
        <f>AND('WJP Rule of Law Index 2012-2013'!C81,"AAAAAB29f9Q=")</f>
        <v>#VALUE!</v>
      </c>
      <c r="HF16" t="e">
        <f>AND('WJP Rule of Law Index 2012-2013'!#REF!,"AAAAAB29f9U=")</f>
        <v>#REF!</v>
      </c>
      <c r="HG16" t="e">
        <f>AND('WJP Rule of Law Index 2012-2013'!D81,"AAAAAB29f9Y=")</f>
        <v>#VALUE!</v>
      </c>
      <c r="HH16" t="e">
        <f>AND('WJP Rule of Law Index 2012-2013'!E81,"AAAAAB29f9c=")</f>
        <v>#VALUE!</v>
      </c>
      <c r="HI16" t="e">
        <f>AND('WJP Rule of Law Index 2012-2013'!F81,"AAAAAB29f9g=")</f>
        <v>#VALUE!</v>
      </c>
      <c r="HJ16" t="e">
        <f>AND('WJP Rule of Law Index 2012-2013'!G81,"AAAAAB29f9k=")</f>
        <v>#VALUE!</v>
      </c>
      <c r="HK16" t="e">
        <f>AND('WJP Rule of Law Index 2012-2013'!H81,"AAAAAB29f9o=")</f>
        <v>#VALUE!</v>
      </c>
      <c r="HL16" t="e">
        <f>AND('WJP Rule of Law Index 2012-2013'!I81,"AAAAAB29f9s=")</f>
        <v>#VALUE!</v>
      </c>
      <c r="HM16" t="e">
        <f>AND('WJP Rule of Law Index 2012-2013'!J81,"AAAAAB29f9w=")</f>
        <v>#VALUE!</v>
      </c>
      <c r="HN16" t="e">
        <f>AND('WJP Rule of Law Index 2012-2013'!K81,"AAAAAB29f90=")</f>
        <v>#VALUE!</v>
      </c>
      <c r="HO16" t="e">
        <f>AND('WJP Rule of Law Index 2012-2013'!#REF!,"AAAAAB29f94=")</f>
        <v>#REF!</v>
      </c>
      <c r="HP16" t="e">
        <f>AND('WJP Rule of Law Index 2012-2013'!#REF!,"AAAAAB29f98=")</f>
        <v>#REF!</v>
      </c>
      <c r="HQ16" t="e">
        <f>AND('WJP Rule of Law Index 2012-2013'!#REF!,"AAAAAB29f+A=")</f>
        <v>#REF!</v>
      </c>
      <c r="HR16" t="e">
        <f>AND('WJP Rule of Law Index 2012-2013'!P81,"AAAAAB29f+E=")</f>
        <v>#VALUE!</v>
      </c>
      <c r="HS16" t="e">
        <f>AND('WJP Rule of Law Index 2012-2013'!Q81,"AAAAAB29f+I=")</f>
        <v>#VALUE!</v>
      </c>
      <c r="HT16" t="e">
        <f>AND('WJP Rule of Law Index 2012-2013'!R81,"AAAAAB29f+M=")</f>
        <v>#VALUE!</v>
      </c>
      <c r="HU16" t="e">
        <f>AND('WJP Rule of Law Index 2012-2013'!S81,"AAAAAB29f+Q=")</f>
        <v>#VALUE!</v>
      </c>
      <c r="HV16" t="e">
        <f>AND('WJP Rule of Law Index 2012-2013'!T81,"AAAAAB29f+U=")</f>
        <v>#VALUE!</v>
      </c>
      <c r="HW16" t="e">
        <f>AND('WJP Rule of Law Index 2012-2013'!U81,"AAAAAB29f+Y=")</f>
        <v>#VALUE!</v>
      </c>
      <c r="HX16" t="e">
        <f>AND('WJP Rule of Law Index 2012-2013'!V81,"AAAAAB29f+c=")</f>
        <v>#VALUE!</v>
      </c>
      <c r="HY16" t="e">
        <f>AND('WJP Rule of Law Index 2012-2013'!W81,"AAAAAB29f+g=")</f>
        <v>#VALUE!</v>
      </c>
      <c r="HZ16" t="e">
        <f>AND('WJP Rule of Law Index 2012-2013'!X81,"AAAAAB29f+k=")</f>
        <v>#VALUE!</v>
      </c>
      <c r="IA16" t="e">
        <f>AND('WJP Rule of Law Index 2012-2013'!Y81,"AAAAAB29f+o=")</f>
        <v>#VALUE!</v>
      </c>
      <c r="IB16" t="e">
        <f>AND('WJP Rule of Law Index 2012-2013'!Z81,"AAAAAB29f+s=")</f>
        <v>#VALUE!</v>
      </c>
      <c r="IC16" t="e">
        <f>AND('WJP Rule of Law Index 2012-2013'!AA81,"AAAAAB29f+w=")</f>
        <v>#VALUE!</v>
      </c>
      <c r="ID16" t="e">
        <f>AND('WJP Rule of Law Index 2012-2013'!AB81,"AAAAAB29f+0=")</f>
        <v>#VALUE!</v>
      </c>
      <c r="IE16" t="e">
        <f>AND('WJP Rule of Law Index 2012-2013'!AC81,"AAAAAB29f+4=")</f>
        <v>#VALUE!</v>
      </c>
      <c r="IF16" t="e">
        <f>AND('WJP Rule of Law Index 2012-2013'!AD81,"AAAAAB29f+8=")</f>
        <v>#VALUE!</v>
      </c>
      <c r="IG16" t="e">
        <f>AND('WJP Rule of Law Index 2012-2013'!AE81,"AAAAAB29f/A=")</f>
        <v>#VALUE!</v>
      </c>
      <c r="IH16" t="e">
        <f>AND('WJP Rule of Law Index 2012-2013'!AF81,"AAAAAB29f/E=")</f>
        <v>#VALUE!</v>
      </c>
      <c r="II16" t="e">
        <f>AND('WJP Rule of Law Index 2012-2013'!AG81,"AAAAAB29f/I=")</f>
        <v>#VALUE!</v>
      </c>
      <c r="IJ16" t="e">
        <f>AND('WJP Rule of Law Index 2012-2013'!#REF!,"AAAAAB29f/M=")</f>
        <v>#REF!</v>
      </c>
      <c r="IK16" t="e">
        <f>AND('WJP Rule of Law Index 2012-2013'!#REF!,"AAAAAB29f/Q=")</f>
        <v>#REF!</v>
      </c>
      <c r="IL16" t="e">
        <f>AND('WJP Rule of Law Index 2012-2013'!AH81,"AAAAAB29f/U=")</f>
        <v>#VALUE!</v>
      </c>
      <c r="IM16" t="e">
        <f>AND('WJP Rule of Law Index 2012-2013'!AI81,"AAAAAB29f/Y=")</f>
        <v>#VALUE!</v>
      </c>
      <c r="IN16" t="e">
        <f>AND('WJP Rule of Law Index 2012-2013'!AJ81,"AAAAAB29f/c=")</f>
        <v>#VALUE!</v>
      </c>
      <c r="IO16" t="e">
        <f>AND('WJP Rule of Law Index 2012-2013'!AK81,"AAAAAB29f/g=")</f>
        <v>#VALUE!</v>
      </c>
      <c r="IP16" t="e">
        <f>AND('WJP Rule of Law Index 2012-2013'!AL81,"AAAAAB29f/k=")</f>
        <v>#VALUE!</v>
      </c>
      <c r="IQ16" t="e">
        <f>AND('WJP Rule of Law Index 2012-2013'!AM81,"AAAAAB29f/o=")</f>
        <v>#VALUE!</v>
      </c>
      <c r="IR16" t="e">
        <f>AND('WJP Rule of Law Index 2012-2013'!AN81,"AAAAAB29f/s=")</f>
        <v>#VALUE!</v>
      </c>
      <c r="IS16" t="e">
        <f>AND('WJP Rule of Law Index 2012-2013'!AO81,"AAAAAB29f/w=")</f>
        <v>#VALUE!</v>
      </c>
      <c r="IT16" t="e">
        <f>AND('WJP Rule of Law Index 2012-2013'!AP81,"AAAAAB29f/0=")</f>
        <v>#VALUE!</v>
      </c>
      <c r="IU16" t="e">
        <f>AND('WJP Rule of Law Index 2012-2013'!AQ81,"AAAAAB29f/4=")</f>
        <v>#VALUE!</v>
      </c>
      <c r="IV16" t="e">
        <f>AND('WJP Rule of Law Index 2012-2013'!AR81,"AAAAAB29f/8=")</f>
        <v>#VALUE!</v>
      </c>
    </row>
    <row r="17" spans="1:256" ht="15">
      <c r="A17" t="e">
        <f>AND('WJP Rule of Law Index 2012-2013'!AS81,"AAAAADG/pwA=")</f>
        <v>#VALUE!</v>
      </c>
      <c r="B17" t="e">
        <f>AND('WJP Rule of Law Index 2012-2013'!AT81,"AAAAADG/pwE=")</f>
        <v>#VALUE!</v>
      </c>
      <c r="C17" t="e">
        <f>IF('WJP Rule of Law Index 2012-2013'!82:82,"AAAAADG/pwI=",0)</f>
        <v>#VALUE!</v>
      </c>
      <c r="D17" t="e">
        <f>AND('WJP Rule of Law Index 2012-2013'!A82,"AAAAADG/pwM=")</f>
        <v>#VALUE!</v>
      </c>
      <c r="E17" t="e">
        <f>AND('WJP Rule of Law Index 2012-2013'!B82,"AAAAADG/pwQ=")</f>
        <v>#VALUE!</v>
      </c>
      <c r="F17" t="e">
        <f>AND('WJP Rule of Law Index 2012-2013'!#REF!,"AAAAADG/pwU=")</f>
        <v>#REF!</v>
      </c>
      <c r="G17" t="e">
        <f>AND('WJP Rule of Law Index 2012-2013'!C82,"AAAAADG/pwY=")</f>
        <v>#VALUE!</v>
      </c>
      <c r="H17" t="e">
        <f>AND('WJP Rule of Law Index 2012-2013'!#REF!,"AAAAADG/pwc=")</f>
        <v>#REF!</v>
      </c>
      <c r="I17" t="e">
        <f>AND('WJP Rule of Law Index 2012-2013'!D82,"AAAAADG/pwg=")</f>
        <v>#VALUE!</v>
      </c>
      <c r="J17" t="e">
        <f>AND('WJP Rule of Law Index 2012-2013'!E82,"AAAAADG/pwk=")</f>
        <v>#VALUE!</v>
      </c>
      <c r="K17" t="e">
        <f>AND('WJP Rule of Law Index 2012-2013'!F82,"AAAAADG/pwo=")</f>
        <v>#VALUE!</v>
      </c>
      <c r="L17" t="e">
        <f>AND('WJP Rule of Law Index 2012-2013'!G82,"AAAAADG/pws=")</f>
        <v>#VALUE!</v>
      </c>
      <c r="M17" t="e">
        <f>AND('WJP Rule of Law Index 2012-2013'!H82,"AAAAADG/pww=")</f>
        <v>#VALUE!</v>
      </c>
      <c r="N17" t="e">
        <f>AND('WJP Rule of Law Index 2012-2013'!I82,"AAAAADG/pw0=")</f>
        <v>#VALUE!</v>
      </c>
      <c r="O17" t="e">
        <f>AND('WJP Rule of Law Index 2012-2013'!J82,"AAAAADG/pw4=")</f>
        <v>#VALUE!</v>
      </c>
      <c r="P17" t="e">
        <f>AND('WJP Rule of Law Index 2012-2013'!K82,"AAAAADG/pw8=")</f>
        <v>#VALUE!</v>
      </c>
      <c r="Q17" t="e">
        <f>AND('WJP Rule of Law Index 2012-2013'!#REF!,"AAAAADG/pxA=")</f>
        <v>#REF!</v>
      </c>
      <c r="R17" t="e">
        <f>AND('WJP Rule of Law Index 2012-2013'!#REF!,"AAAAADG/pxE=")</f>
        <v>#REF!</v>
      </c>
      <c r="S17" t="e">
        <f>AND('WJP Rule of Law Index 2012-2013'!#REF!,"AAAAADG/pxI=")</f>
        <v>#REF!</v>
      </c>
      <c r="T17" t="e">
        <f>AND('WJP Rule of Law Index 2012-2013'!P82,"AAAAADG/pxM=")</f>
        <v>#VALUE!</v>
      </c>
      <c r="U17" t="e">
        <f>AND('WJP Rule of Law Index 2012-2013'!Q82,"AAAAADG/pxQ=")</f>
        <v>#VALUE!</v>
      </c>
      <c r="V17" t="e">
        <f>AND('WJP Rule of Law Index 2012-2013'!R82,"AAAAADG/pxU=")</f>
        <v>#VALUE!</v>
      </c>
      <c r="W17" t="e">
        <f>AND('WJP Rule of Law Index 2012-2013'!S82,"AAAAADG/pxY=")</f>
        <v>#VALUE!</v>
      </c>
      <c r="X17" t="e">
        <f>AND('WJP Rule of Law Index 2012-2013'!T82,"AAAAADG/pxc=")</f>
        <v>#VALUE!</v>
      </c>
      <c r="Y17" t="e">
        <f>AND('WJP Rule of Law Index 2012-2013'!U82,"AAAAADG/pxg=")</f>
        <v>#VALUE!</v>
      </c>
      <c r="Z17" t="e">
        <f>AND('WJP Rule of Law Index 2012-2013'!V82,"AAAAADG/pxk=")</f>
        <v>#VALUE!</v>
      </c>
      <c r="AA17" t="e">
        <f>AND('WJP Rule of Law Index 2012-2013'!W82,"AAAAADG/pxo=")</f>
        <v>#VALUE!</v>
      </c>
      <c r="AB17" t="e">
        <f>AND('WJP Rule of Law Index 2012-2013'!X82,"AAAAADG/pxs=")</f>
        <v>#VALUE!</v>
      </c>
      <c r="AC17" t="e">
        <f>AND('WJP Rule of Law Index 2012-2013'!Y82,"AAAAADG/pxw=")</f>
        <v>#VALUE!</v>
      </c>
      <c r="AD17" t="e">
        <f>AND('WJP Rule of Law Index 2012-2013'!Z82,"AAAAADG/px0=")</f>
        <v>#VALUE!</v>
      </c>
      <c r="AE17" t="e">
        <f>AND('WJP Rule of Law Index 2012-2013'!AA82,"AAAAADG/px4=")</f>
        <v>#VALUE!</v>
      </c>
      <c r="AF17" t="e">
        <f>AND('WJP Rule of Law Index 2012-2013'!AB82,"AAAAADG/px8=")</f>
        <v>#VALUE!</v>
      </c>
      <c r="AG17" t="e">
        <f>AND('WJP Rule of Law Index 2012-2013'!AC82,"AAAAADG/pyA=")</f>
        <v>#VALUE!</v>
      </c>
      <c r="AH17" t="e">
        <f>AND('WJP Rule of Law Index 2012-2013'!AD82,"AAAAADG/pyE=")</f>
        <v>#VALUE!</v>
      </c>
      <c r="AI17" t="e">
        <f>AND('WJP Rule of Law Index 2012-2013'!AE82,"AAAAADG/pyI=")</f>
        <v>#VALUE!</v>
      </c>
      <c r="AJ17" t="e">
        <f>AND('WJP Rule of Law Index 2012-2013'!AF82,"AAAAADG/pyM=")</f>
        <v>#VALUE!</v>
      </c>
      <c r="AK17" t="e">
        <f>AND('WJP Rule of Law Index 2012-2013'!AG82,"AAAAADG/pyQ=")</f>
        <v>#VALUE!</v>
      </c>
      <c r="AL17" t="e">
        <f>AND('WJP Rule of Law Index 2012-2013'!#REF!,"AAAAADG/pyU=")</f>
        <v>#REF!</v>
      </c>
      <c r="AM17" t="e">
        <f>AND('WJP Rule of Law Index 2012-2013'!#REF!,"AAAAADG/pyY=")</f>
        <v>#REF!</v>
      </c>
      <c r="AN17" t="e">
        <f>AND('WJP Rule of Law Index 2012-2013'!AH82,"AAAAADG/pyc=")</f>
        <v>#VALUE!</v>
      </c>
      <c r="AO17" t="e">
        <f>AND('WJP Rule of Law Index 2012-2013'!AI82,"AAAAADG/pyg=")</f>
        <v>#VALUE!</v>
      </c>
      <c r="AP17" t="e">
        <f>AND('WJP Rule of Law Index 2012-2013'!AJ82,"AAAAADG/pyk=")</f>
        <v>#VALUE!</v>
      </c>
      <c r="AQ17" t="e">
        <f>AND('WJP Rule of Law Index 2012-2013'!AK82,"AAAAADG/pyo=")</f>
        <v>#VALUE!</v>
      </c>
      <c r="AR17" t="e">
        <f>AND('WJP Rule of Law Index 2012-2013'!AL82,"AAAAADG/pys=")</f>
        <v>#VALUE!</v>
      </c>
      <c r="AS17" t="e">
        <f>AND('WJP Rule of Law Index 2012-2013'!AM82,"AAAAADG/pyw=")</f>
        <v>#VALUE!</v>
      </c>
      <c r="AT17" t="e">
        <f>AND('WJP Rule of Law Index 2012-2013'!AN82,"AAAAADG/py0=")</f>
        <v>#VALUE!</v>
      </c>
      <c r="AU17" t="e">
        <f>AND('WJP Rule of Law Index 2012-2013'!AO82,"AAAAADG/py4=")</f>
        <v>#VALUE!</v>
      </c>
      <c r="AV17" t="e">
        <f>AND('WJP Rule of Law Index 2012-2013'!AP82,"AAAAADG/py8=")</f>
        <v>#VALUE!</v>
      </c>
      <c r="AW17" t="e">
        <f>AND('WJP Rule of Law Index 2012-2013'!AQ82,"AAAAADG/pzA=")</f>
        <v>#VALUE!</v>
      </c>
      <c r="AX17" t="e">
        <f>AND('WJP Rule of Law Index 2012-2013'!AR82,"AAAAADG/pzE=")</f>
        <v>#VALUE!</v>
      </c>
      <c r="AY17" t="e">
        <f>AND('WJP Rule of Law Index 2012-2013'!AS82,"AAAAADG/pzI=")</f>
        <v>#VALUE!</v>
      </c>
      <c r="AZ17" t="e">
        <f>AND('WJP Rule of Law Index 2012-2013'!AT82,"AAAAADG/pzM=")</f>
        <v>#VALUE!</v>
      </c>
      <c r="BA17" t="str">
        <f>IF('WJP Rule of Law Index 2012-2013'!83:83,"AAAAADG/pzQ=",0)</f>
        <v>AAAAADG/pzQ=</v>
      </c>
      <c r="BB17" t="e">
        <f>AND('WJP Rule of Law Index 2012-2013'!A83,"AAAAADG/pzU=")</f>
        <v>#VALUE!</v>
      </c>
      <c r="BC17" t="e">
        <f>AND('WJP Rule of Law Index 2012-2013'!B83,"AAAAADG/pzY=")</f>
        <v>#VALUE!</v>
      </c>
      <c r="BD17" t="e">
        <f>AND('WJP Rule of Law Index 2012-2013'!#REF!,"AAAAADG/pzc=")</f>
        <v>#REF!</v>
      </c>
      <c r="BE17" t="e">
        <f>AND('WJP Rule of Law Index 2012-2013'!C83,"AAAAADG/pzg=")</f>
        <v>#VALUE!</v>
      </c>
      <c r="BF17" t="e">
        <f>AND('WJP Rule of Law Index 2012-2013'!#REF!,"AAAAADG/pzk=")</f>
        <v>#REF!</v>
      </c>
      <c r="BG17" t="e">
        <f>AND('WJP Rule of Law Index 2012-2013'!D83,"AAAAADG/pzo=")</f>
        <v>#VALUE!</v>
      </c>
      <c r="BH17" t="e">
        <f>AND('WJP Rule of Law Index 2012-2013'!E83,"AAAAADG/pzs=")</f>
        <v>#VALUE!</v>
      </c>
      <c r="BI17" t="e">
        <f>AND('WJP Rule of Law Index 2012-2013'!F83,"AAAAADG/pzw=")</f>
        <v>#VALUE!</v>
      </c>
      <c r="BJ17" t="e">
        <f>AND('WJP Rule of Law Index 2012-2013'!G83,"AAAAADG/pz0=")</f>
        <v>#VALUE!</v>
      </c>
      <c r="BK17" t="e">
        <f>AND('WJP Rule of Law Index 2012-2013'!H83,"AAAAADG/pz4=")</f>
        <v>#VALUE!</v>
      </c>
      <c r="BL17" t="e">
        <f>AND('WJP Rule of Law Index 2012-2013'!I83,"AAAAADG/pz8=")</f>
        <v>#VALUE!</v>
      </c>
      <c r="BM17" t="e">
        <f>AND('WJP Rule of Law Index 2012-2013'!J83,"AAAAADG/p0A=")</f>
        <v>#VALUE!</v>
      </c>
      <c r="BN17" t="e">
        <f>AND('WJP Rule of Law Index 2012-2013'!K83,"AAAAADG/p0E=")</f>
        <v>#VALUE!</v>
      </c>
      <c r="BO17" t="e">
        <f>AND('WJP Rule of Law Index 2012-2013'!#REF!,"AAAAADG/p0I=")</f>
        <v>#REF!</v>
      </c>
      <c r="BP17" t="e">
        <f>AND('WJP Rule of Law Index 2012-2013'!#REF!,"AAAAADG/p0M=")</f>
        <v>#REF!</v>
      </c>
      <c r="BQ17" t="e">
        <f>AND('WJP Rule of Law Index 2012-2013'!#REF!,"AAAAADG/p0Q=")</f>
        <v>#REF!</v>
      </c>
      <c r="BR17" t="e">
        <f>AND('WJP Rule of Law Index 2012-2013'!P83,"AAAAADG/p0U=")</f>
        <v>#VALUE!</v>
      </c>
      <c r="BS17" t="e">
        <f>AND('WJP Rule of Law Index 2012-2013'!Q83,"AAAAADG/p0Y=")</f>
        <v>#VALUE!</v>
      </c>
      <c r="BT17" t="e">
        <f>AND('WJP Rule of Law Index 2012-2013'!R83,"AAAAADG/p0c=")</f>
        <v>#VALUE!</v>
      </c>
      <c r="BU17" t="e">
        <f>AND('WJP Rule of Law Index 2012-2013'!S83,"AAAAADG/p0g=")</f>
        <v>#VALUE!</v>
      </c>
      <c r="BV17" t="e">
        <f>AND('WJP Rule of Law Index 2012-2013'!T83,"AAAAADG/p0k=")</f>
        <v>#VALUE!</v>
      </c>
      <c r="BW17" t="e">
        <f>AND('WJP Rule of Law Index 2012-2013'!U83,"AAAAADG/p0o=")</f>
        <v>#VALUE!</v>
      </c>
      <c r="BX17" t="e">
        <f>AND('WJP Rule of Law Index 2012-2013'!V83,"AAAAADG/p0s=")</f>
        <v>#VALUE!</v>
      </c>
      <c r="BY17" t="e">
        <f>AND('WJP Rule of Law Index 2012-2013'!W83,"AAAAADG/p0w=")</f>
        <v>#VALUE!</v>
      </c>
      <c r="BZ17" t="e">
        <f>AND('WJP Rule of Law Index 2012-2013'!X83,"AAAAADG/p00=")</f>
        <v>#VALUE!</v>
      </c>
      <c r="CA17" t="e">
        <f>AND('WJP Rule of Law Index 2012-2013'!Y83,"AAAAADG/p04=")</f>
        <v>#VALUE!</v>
      </c>
      <c r="CB17" t="e">
        <f>AND('WJP Rule of Law Index 2012-2013'!Z83,"AAAAADG/p08=")</f>
        <v>#VALUE!</v>
      </c>
      <c r="CC17" t="e">
        <f>AND('WJP Rule of Law Index 2012-2013'!AA83,"AAAAADG/p1A=")</f>
        <v>#VALUE!</v>
      </c>
      <c r="CD17" t="e">
        <f>AND('WJP Rule of Law Index 2012-2013'!AB83,"AAAAADG/p1E=")</f>
        <v>#VALUE!</v>
      </c>
      <c r="CE17" t="e">
        <f>AND('WJP Rule of Law Index 2012-2013'!AC83,"AAAAADG/p1I=")</f>
        <v>#VALUE!</v>
      </c>
      <c r="CF17" t="e">
        <f>AND('WJP Rule of Law Index 2012-2013'!AD83,"AAAAADG/p1M=")</f>
        <v>#VALUE!</v>
      </c>
      <c r="CG17" t="e">
        <f>AND('WJP Rule of Law Index 2012-2013'!AE83,"AAAAADG/p1Q=")</f>
        <v>#VALUE!</v>
      </c>
      <c r="CH17" t="e">
        <f>AND('WJP Rule of Law Index 2012-2013'!AF83,"AAAAADG/p1U=")</f>
        <v>#VALUE!</v>
      </c>
      <c r="CI17" t="e">
        <f>AND('WJP Rule of Law Index 2012-2013'!AG83,"AAAAADG/p1Y=")</f>
        <v>#VALUE!</v>
      </c>
      <c r="CJ17" t="e">
        <f>AND('WJP Rule of Law Index 2012-2013'!#REF!,"AAAAADG/p1c=")</f>
        <v>#REF!</v>
      </c>
      <c r="CK17" t="e">
        <f>AND('WJP Rule of Law Index 2012-2013'!#REF!,"AAAAADG/p1g=")</f>
        <v>#REF!</v>
      </c>
      <c r="CL17" t="e">
        <f>AND('WJP Rule of Law Index 2012-2013'!AH83,"AAAAADG/p1k=")</f>
        <v>#VALUE!</v>
      </c>
      <c r="CM17" t="e">
        <f>AND('WJP Rule of Law Index 2012-2013'!AI83,"AAAAADG/p1o=")</f>
        <v>#VALUE!</v>
      </c>
      <c r="CN17" t="e">
        <f>AND('WJP Rule of Law Index 2012-2013'!AJ83,"AAAAADG/p1s=")</f>
        <v>#VALUE!</v>
      </c>
      <c r="CO17" t="e">
        <f>AND('WJP Rule of Law Index 2012-2013'!AK83,"AAAAADG/p1w=")</f>
        <v>#VALUE!</v>
      </c>
      <c r="CP17" t="e">
        <f>AND('WJP Rule of Law Index 2012-2013'!AL83,"AAAAADG/p10=")</f>
        <v>#VALUE!</v>
      </c>
      <c r="CQ17" t="e">
        <f>AND('WJP Rule of Law Index 2012-2013'!AM83,"AAAAADG/p14=")</f>
        <v>#VALUE!</v>
      </c>
      <c r="CR17" t="e">
        <f>AND('WJP Rule of Law Index 2012-2013'!AN83,"AAAAADG/p18=")</f>
        <v>#VALUE!</v>
      </c>
      <c r="CS17" t="e">
        <f>AND('WJP Rule of Law Index 2012-2013'!AO83,"AAAAADG/p2A=")</f>
        <v>#VALUE!</v>
      </c>
      <c r="CT17" t="e">
        <f>AND('WJP Rule of Law Index 2012-2013'!AP83,"AAAAADG/p2E=")</f>
        <v>#VALUE!</v>
      </c>
      <c r="CU17" t="e">
        <f>AND('WJP Rule of Law Index 2012-2013'!AQ83,"AAAAADG/p2I=")</f>
        <v>#VALUE!</v>
      </c>
      <c r="CV17" t="e">
        <f>AND('WJP Rule of Law Index 2012-2013'!AR83,"AAAAADG/p2M=")</f>
        <v>#VALUE!</v>
      </c>
      <c r="CW17" t="e">
        <f>AND('WJP Rule of Law Index 2012-2013'!AS83,"AAAAADG/p2Q=")</f>
        <v>#VALUE!</v>
      </c>
      <c r="CX17" t="e">
        <f>AND('WJP Rule of Law Index 2012-2013'!AT83,"AAAAADG/p2U=")</f>
        <v>#VALUE!</v>
      </c>
      <c r="CY17">
        <f>IF('WJP Rule of Law Index 2012-2013'!84:84,"AAAAADG/p2Y=",0)</f>
        <v>0</v>
      </c>
      <c r="CZ17" t="e">
        <f>AND('WJP Rule of Law Index 2012-2013'!A84,"AAAAADG/p2c=")</f>
        <v>#VALUE!</v>
      </c>
      <c r="DA17" t="e">
        <f>AND('WJP Rule of Law Index 2012-2013'!B84,"AAAAADG/p2g=")</f>
        <v>#VALUE!</v>
      </c>
      <c r="DB17" t="e">
        <f>AND('WJP Rule of Law Index 2012-2013'!#REF!,"AAAAADG/p2k=")</f>
        <v>#REF!</v>
      </c>
      <c r="DC17" t="e">
        <f>AND('WJP Rule of Law Index 2012-2013'!C84,"AAAAADG/p2o=")</f>
        <v>#VALUE!</v>
      </c>
      <c r="DD17" t="e">
        <f>AND('WJP Rule of Law Index 2012-2013'!#REF!,"AAAAADG/p2s=")</f>
        <v>#REF!</v>
      </c>
      <c r="DE17" t="e">
        <f>AND('WJP Rule of Law Index 2012-2013'!D84,"AAAAADG/p2w=")</f>
        <v>#VALUE!</v>
      </c>
      <c r="DF17" t="e">
        <f>AND('WJP Rule of Law Index 2012-2013'!E84,"AAAAADG/p20=")</f>
        <v>#VALUE!</v>
      </c>
      <c r="DG17" t="e">
        <f>AND('WJP Rule of Law Index 2012-2013'!F84,"AAAAADG/p24=")</f>
        <v>#VALUE!</v>
      </c>
      <c r="DH17" t="e">
        <f>AND('WJP Rule of Law Index 2012-2013'!G84,"AAAAADG/p28=")</f>
        <v>#VALUE!</v>
      </c>
      <c r="DI17" t="e">
        <f>AND('WJP Rule of Law Index 2012-2013'!H84,"AAAAADG/p3A=")</f>
        <v>#VALUE!</v>
      </c>
      <c r="DJ17" t="e">
        <f>AND('WJP Rule of Law Index 2012-2013'!I84,"AAAAADG/p3E=")</f>
        <v>#VALUE!</v>
      </c>
      <c r="DK17" t="e">
        <f>AND('WJP Rule of Law Index 2012-2013'!J84,"AAAAADG/p3I=")</f>
        <v>#VALUE!</v>
      </c>
      <c r="DL17" t="e">
        <f>AND('WJP Rule of Law Index 2012-2013'!K84,"AAAAADG/p3M=")</f>
        <v>#VALUE!</v>
      </c>
      <c r="DM17" t="e">
        <f>AND('WJP Rule of Law Index 2012-2013'!#REF!,"AAAAADG/p3Q=")</f>
        <v>#REF!</v>
      </c>
      <c r="DN17" t="e">
        <f>AND('WJP Rule of Law Index 2012-2013'!#REF!,"AAAAADG/p3U=")</f>
        <v>#REF!</v>
      </c>
      <c r="DO17" t="e">
        <f>AND('WJP Rule of Law Index 2012-2013'!#REF!,"AAAAADG/p3Y=")</f>
        <v>#REF!</v>
      </c>
      <c r="DP17" t="e">
        <f>AND('WJP Rule of Law Index 2012-2013'!P84,"AAAAADG/p3c=")</f>
        <v>#VALUE!</v>
      </c>
      <c r="DQ17" t="e">
        <f>AND('WJP Rule of Law Index 2012-2013'!Q84,"AAAAADG/p3g=")</f>
        <v>#VALUE!</v>
      </c>
      <c r="DR17" t="e">
        <f>AND('WJP Rule of Law Index 2012-2013'!R84,"AAAAADG/p3k=")</f>
        <v>#VALUE!</v>
      </c>
      <c r="DS17" t="e">
        <f>AND('WJP Rule of Law Index 2012-2013'!S84,"AAAAADG/p3o=")</f>
        <v>#VALUE!</v>
      </c>
      <c r="DT17" t="e">
        <f>AND('WJP Rule of Law Index 2012-2013'!T84,"AAAAADG/p3s=")</f>
        <v>#VALUE!</v>
      </c>
      <c r="DU17" t="e">
        <f>AND('WJP Rule of Law Index 2012-2013'!U84,"AAAAADG/p3w=")</f>
        <v>#VALUE!</v>
      </c>
      <c r="DV17" t="e">
        <f>AND('WJP Rule of Law Index 2012-2013'!V84,"AAAAADG/p30=")</f>
        <v>#VALUE!</v>
      </c>
      <c r="DW17" t="e">
        <f>AND('WJP Rule of Law Index 2012-2013'!W84,"AAAAADG/p34=")</f>
        <v>#VALUE!</v>
      </c>
      <c r="DX17" t="e">
        <f>AND('WJP Rule of Law Index 2012-2013'!X84,"AAAAADG/p38=")</f>
        <v>#VALUE!</v>
      </c>
      <c r="DY17" t="e">
        <f>AND('WJP Rule of Law Index 2012-2013'!Y84,"AAAAADG/p4A=")</f>
        <v>#VALUE!</v>
      </c>
      <c r="DZ17" t="e">
        <f>AND('WJP Rule of Law Index 2012-2013'!Z84,"AAAAADG/p4E=")</f>
        <v>#VALUE!</v>
      </c>
      <c r="EA17" t="e">
        <f>AND('WJP Rule of Law Index 2012-2013'!AA84,"AAAAADG/p4I=")</f>
        <v>#VALUE!</v>
      </c>
      <c r="EB17" t="e">
        <f>AND('WJP Rule of Law Index 2012-2013'!AB84,"AAAAADG/p4M=")</f>
        <v>#VALUE!</v>
      </c>
      <c r="EC17" t="e">
        <f>AND('WJP Rule of Law Index 2012-2013'!AC84,"AAAAADG/p4Q=")</f>
        <v>#VALUE!</v>
      </c>
      <c r="ED17" t="e">
        <f>AND('WJP Rule of Law Index 2012-2013'!AD84,"AAAAADG/p4U=")</f>
        <v>#VALUE!</v>
      </c>
      <c r="EE17" t="e">
        <f>AND('WJP Rule of Law Index 2012-2013'!AE84,"AAAAADG/p4Y=")</f>
        <v>#VALUE!</v>
      </c>
      <c r="EF17" t="e">
        <f>AND('WJP Rule of Law Index 2012-2013'!AF84,"AAAAADG/p4c=")</f>
        <v>#VALUE!</v>
      </c>
      <c r="EG17" t="e">
        <f>AND('WJP Rule of Law Index 2012-2013'!AG84,"AAAAADG/p4g=")</f>
        <v>#VALUE!</v>
      </c>
      <c r="EH17" t="e">
        <f>AND('WJP Rule of Law Index 2012-2013'!#REF!,"AAAAADG/p4k=")</f>
        <v>#REF!</v>
      </c>
      <c r="EI17" t="e">
        <f>AND('WJP Rule of Law Index 2012-2013'!#REF!,"AAAAADG/p4o=")</f>
        <v>#REF!</v>
      </c>
      <c r="EJ17" t="e">
        <f>AND('WJP Rule of Law Index 2012-2013'!AH84,"AAAAADG/p4s=")</f>
        <v>#VALUE!</v>
      </c>
      <c r="EK17" t="e">
        <f>AND('WJP Rule of Law Index 2012-2013'!AI84,"AAAAADG/p4w=")</f>
        <v>#VALUE!</v>
      </c>
      <c r="EL17" t="e">
        <f>AND('WJP Rule of Law Index 2012-2013'!AJ84,"AAAAADG/p40=")</f>
        <v>#VALUE!</v>
      </c>
      <c r="EM17" t="e">
        <f>AND('WJP Rule of Law Index 2012-2013'!AK84,"AAAAADG/p44=")</f>
        <v>#VALUE!</v>
      </c>
      <c r="EN17" t="e">
        <f>AND('WJP Rule of Law Index 2012-2013'!AL84,"AAAAADG/p48=")</f>
        <v>#VALUE!</v>
      </c>
      <c r="EO17" t="e">
        <f>AND('WJP Rule of Law Index 2012-2013'!AM84,"AAAAADG/p5A=")</f>
        <v>#VALUE!</v>
      </c>
      <c r="EP17" t="e">
        <f>AND('WJP Rule of Law Index 2012-2013'!AN84,"AAAAADG/p5E=")</f>
        <v>#VALUE!</v>
      </c>
      <c r="EQ17" t="e">
        <f>AND('WJP Rule of Law Index 2012-2013'!AO84,"AAAAADG/p5I=")</f>
        <v>#VALUE!</v>
      </c>
      <c r="ER17" t="e">
        <f>AND('WJP Rule of Law Index 2012-2013'!AP84,"AAAAADG/p5M=")</f>
        <v>#VALUE!</v>
      </c>
      <c r="ES17" t="e">
        <f>AND('WJP Rule of Law Index 2012-2013'!AQ84,"AAAAADG/p5Q=")</f>
        <v>#VALUE!</v>
      </c>
      <c r="ET17" t="e">
        <f>AND('WJP Rule of Law Index 2012-2013'!AR84,"AAAAADG/p5U=")</f>
        <v>#VALUE!</v>
      </c>
      <c r="EU17" t="e">
        <f>AND('WJP Rule of Law Index 2012-2013'!AS84,"AAAAADG/p5Y=")</f>
        <v>#VALUE!</v>
      </c>
      <c r="EV17" t="e">
        <f>AND('WJP Rule of Law Index 2012-2013'!AT84,"AAAAADG/p5c=")</f>
        <v>#VALUE!</v>
      </c>
      <c r="EW17">
        <f>IF('WJP Rule of Law Index 2012-2013'!85:85,"AAAAADG/p5g=",0)</f>
        <v>0</v>
      </c>
      <c r="EX17" t="e">
        <f>AND('WJP Rule of Law Index 2012-2013'!A85,"AAAAADG/p5k=")</f>
        <v>#VALUE!</v>
      </c>
      <c r="EY17" t="e">
        <f>AND('WJP Rule of Law Index 2012-2013'!B85,"AAAAADG/p5o=")</f>
        <v>#VALUE!</v>
      </c>
      <c r="EZ17" t="e">
        <f>AND('WJP Rule of Law Index 2012-2013'!#REF!,"AAAAADG/p5s=")</f>
        <v>#REF!</v>
      </c>
      <c r="FA17" t="e">
        <f>AND('WJP Rule of Law Index 2012-2013'!C85,"AAAAADG/p5w=")</f>
        <v>#VALUE!</v>
      </c>
      <c r="FB17" t="e">
        <f>AND('WJP Rule of Law Index 2012-2013'!#REF!,"AAAAADG/p50=")</f>
        <v>#REF!</v>
      </c>
      <c r="FC17" t="e">
        <f>AND('WJP Rule of Law Index 2012-2013'!D85,"AAAAADG/p54=")</f>
        <v>#VALUE!</v>
      </c>
      <c r="FD17" t="e">
        <f>AND('WJP Rule of Law Index 2012-2013'!E85,"AAAAADG/p58=")</f>
        <v>#VALUE!</v>
      </c>
      <c r="FE17" t="e">
        <f>AND('WJP Rule of Law Index 2012-2013'!F85,"AAAAADG/p6A=")</f>
        <v>#VALUE!</v>
      </c>
      <c r="FF17" t="e">
        <f>AND('WJP Rule of Law Index 2012-2013'!G85,"AAAAADG/p6E=")</f>
        <v>#VALUE!</v>
      </c>
      <c r="FG17" t="e">
        <f>AND('WJP Rule of Law Index 2012-2013'!H85,"AAAAADG/p6I=")</f>
        <v>#VALUE!</v>
      </c>
      <c r="FH17" t="e">
        <f>AND('WJP Rule of Law Index 2012-2013'!I85,"AAAAADG/p6M=")</f>
        <v>#VALUE!</v>
      </c>
      <c r="FI17" t="e">
        <f>AND('WJP Rule of Law Index 2012-2013'!J85,"AAAAADG/p6Q=")</f>
        <v>#VALUE!</v>
      </c>
      <c r="FJ17" t="e">
        <f>AND('WJP Rule of Law Index 2012-2013'!K85,"AAAAADG/p6U=")</f>
        <v>#VALUE!</v>
      </c>
      <c r="FK17" t="e">
        <f>AND('WJP Rule of Law Index 2012-2013'!#REF!,"AAAAADG/p6Y=")</f>
        <v>#REF!</v>
      </c>
      <c r="FL17" t="e">
        <f>AND('WJP Rule of Law Index 2012-2013'!#REF!,"AAAAADG/p6c=")</f>
        <v>#REF!</v>
      </c>
      <c r="FM17" t="e">
        <f>AND('WJP Rule of Law Index 2012-2013'!#REF!,"AAAAADG/p6g=")</f>
        <v>#REF!</v>
      </c>
      <c r="FN17" t="e">
        <f>AND('WJP Rule of Law Index 2012-2013'!P85,"AAAAADG/p6k=")</f>
        <v>#VALUE!</v>
      </c>
      <c r="FO17" t="e">
        <f>AND('WJP Rule of Law Index 2012-2013'!Q85,"AAAAADG/p6o=")</f>
        <v>#VALUE!</v>
      </c>
      <c r="FP17" t="e">
        <f>AND('WJP Rule of Law Index 2012-2013'!R85,"AAAAADG/p6s=")</f>
        <v>#VALUE!</v>
      </c>
      <c r="FQ17" t="e">
        <f>AND('WJP Rule of Law Index 2012-2013'!S85,"AAAAADG/p6w=")</f>
        <v>#VALUE!</v>
      </c>
      <c r="FR17" t="e">
        <f>AND('WJP Rule of Law Index 2012-2013'!T85,"AAAAADG/p60=")</f>
        <v>#VALUE!</v>
      </c>
      <c r="FS17" t="e">
        <f>AND('WJP Rule of Law Index 2012-2013'!U85,"AAAAADG/p64=")</f>
        <v>#VALUE!</v>
      </c>
      <c r="FT17" t="e">
        <f>AND('WJP Rule of Law Index 2012-2013'!V85,"AAAAADG/p68=")</f>
        <v>#VALUE!</v>
      </c>
      <c r="FU17" t="e">
        <f>AND('WJP Rule of Law Index 2012-2013'!W85,"AAAAADG/p7A=")</f>
        <v>#VALUE!</v>
      </c>
      <c r="FV17" t="e">
        <f>AND('WJP Rule of Law Index 2012-2013'!X85,"AAAAADG/p7E=")</f>
        <v>#VALUE!</v>
      </c>
      <c r="FW17" t="e">
        <f>AND('WJP Rule of Law Index 2012-2013'!Y85,"AAAAADG/p7I=")</f>
        <v>#VALUE!</v>
      </c>
      <c r="FX17" t="e">
        <f>AND('WJP Rule of Law Index 2012-2013'!Z85,"AAAAADG/p7M=")</f>
        <v>#VALUE!</v>
      </c>
      <c r="FY17" t="e">
        <f>AND('WJP Rule of Law Index 2012-2013'!AA85,"AAAAADG/p7Q=")</f>
        <v>#VALUE!</v>
      </c>
      <c r="FZ17" t="e">
        <f>AND('WJP Rule of Law Index 2012-2013'!AB85,"AAAAADG/p7U=")</f>
        <v>#VALUE!</v>
      </c>
      <c r="GA17" t="e">
        <f>AND('WJP Rule of Law Index 2012-2013'!AC85,"AAAAADG/p7Y=")</f>
        <v>#VALUE!</v>
      </c>
      <c r="GB17" t="e">
        <f>AND('WJP Rule of Law Index 2012-2013'!AD85,"AAAAADG/p7c=")</f>
        <v>#VALUE!</v>
      </c>
      <c r="GC17" t="e">
        <f>AND('WJP Rule of Law Index 2012-2013'!AE85,"AAAAADG/p7g=")</f>
        <v>#VALUE!</v>
      </c>
      <c r="GD17" t="e">
        <f>AND('WJP Rule of Law Index 2012-2013'!AF85,"AAAAADG/p7k=")</f>
        <v>#VALUE!</v>
      </c>
      <c r="GE17" t="e">
        <f>AND('WJP Rule of Law Index 2012-2013'!AG85,"AAAAADG/p7o=")</f>
        <v>#VALUE!</v>
      </c>
      <c r="GF17" t="e">
        <f>AND('WJP Rule of Law Index 2012-2013'!#REF!,"AAAAADG/p7s=")</f>
        <v>#REF!</v>
      </c>
      <c r="GG17" t="e">
        <f>AND('WJP Rule of Law Index 2012-2013'!#REF!,"AAAAADG/p7w=")</f>
        <v>#REF!</v>
      </c>
      <c r="GH17" t="e">
        <f>AND('WJP Rule of Law Index 2012-2013'!AH85,"AAAAADG/p70=")</f>
        <v>#VALUE!</v>
      </c>
      <c r="GI17" t="e">
        <f>AND('WJP Rule of Law Index 2012-2013'!AI85,"AAAAADG/p74=")</f>
        <v>#VALUE!</v>
      </c>
      <c r="GJ17" t="e">
        <f>AND('WJP Rule of Law Index 2012-2013'!AJ85,"AAAAADG/p78=")</f>
        <v>#VALUE!</v>
      </c>
      <c r="GK17" t="e">
        <f>AND('WJP Rule of Law Index 2012-2013'!AK85,"AAAAADG/p8A=")</f>
        <v>#VALUE!</v>
      </c>
      <c r="GL17" t="e">
        <f>AND('WJP Rule of Law Index 2012-2013'!AL85,"AAAAADG/p8E=")</f>
        <v>#VALUE!</v>
      </c>
      <c r="GM17" t="e">
        <f>AND('WJP Rule of Law Index 2012-2013'!AM85,"AAAAADG/p8I=")</f>
        <v>#VALUE!</v>
      </c>
      <c r="GN17" t="e">
        <f>AND('WJP Rule of Law Index 2012-2013'!AN85,"AAAAADG/p8M=")</f>
        <v>#VALUE!</v>
      </c>
      <c r="GO17" t="e">
        <f>AND('WJP Rule of Law Index 2012-2013'!AO85,"AAAAADG/p8Q=")</f>
        <v>#VALUE!</v>
      </c>
      <c r="GP17" t="e">
        <f>AND('WJP Rule of Law Index 2012-2013'!AP85,"AAAAADG/p8U=")</f>
        <v>#VALUE!</v>
      </c>
      <c r="GQ17" t="e">
        <f>AND('WJP Rule of Law Index 2012-2013'!AQ85,"AAAAADG/p8Y=")</f>
        <v>#VALUE!</v>
      </c>
      <c r="GR17" t="e">
        <f>AND('WJP Rule of Law Index 2012-2013'!AR85,"AAAAADG/p8c=")</f>
        <v>#VALUE!</v>
      </c>
      <c r="GS17" t="e">
        <f>AND('WJP Rule of Law Index 2012-2013'!AS85,"AAAAADG/p8g=")</f>
        <v>#VALUE!</v>
      </c>
      <c r="GT17" t="e">
        <f>AND('WJP Rule of Law Index 2012-2013'!AT85,"AAAAADG/p8k=")</f>
        <v>#VALUE!</v>
      </c>
      <c r="GU17">
        <f>IF('WJP Rule of Law Index 2012-2013'!86:86,"AAAAADG/p8o=",0)</f>
        <v>0</v>
      </c>
      <c r="GV17" t="e">
        <f>AND('WJP Rule of Law Index 2012-2013'!A86,"AAAAADG/p8s=")</f>
        <v>#VALUE!</v>
      </c>
      <c r="GW17" t="e">
        <f>AND('WJP Rule of Law Index 2012-2013'!B86,"AAAAADG/p8w=")</f>
        <v>#VALUE!</v>
      </c>
      <c r="GX17" t="e">
        <f>AND('WJP Rule of Law Index 2012-2013'!#REF!,"AAAAADG/p80=")</f>
        <v>#REF!</v>
      </c>
      <c r="GY17" t="e">
        <f>AND('WJP Rule of Law Index 2012-2013'!C86,"AAAAADG/p84=")</f>
        <v>#VALUE!</v>
      </c>
      <c r="GZ17" t="e">
        <f>AND('WJP Rule of Law Index 2012-2013'!#REF!,"AAAAADG/p88=")</f>
        <v>#REF!</v>
      </c>
      <c r="HA17" t="e">
        <f>AND('WJP Rule of Law Index 2012-2013'!D86,"AAAAADG/p9A=")</f>
        <v>#VALUE!</v>
      </c>
      <c r="HB17" t="e">
        <f>AND('WJP Rule of Law Index 2012-2013'!E86,"AAAAADG/p9E=")</f>
        <v>#VALUE!</v>
      </c>
      <c r="HC17" t="e">
        <f>AND('WJP Rule of Law Index 2012-2013'!F86,"AAAAADG/p9I=")</f>
        <v>#VALUE!</v>
      </c>
      <c r="HD17" t="e">
        <f>AND('WJP Rule of Law Index 2012-2013'!G86,"AAAAADG/p9M=")</f>
        <v>#VALUE!</v>
      </c>
      <c r="HE17" t="e">
        <f>AND('WJP Rule of Law Index 2012-2013'!H86,"AAAAADG/p9Q=")</f>
        <v>#VALUE!</v>
      </c>
      <c r="HF17" t="e">
        <f>AND('WJP Rule of Law Index 2012-2013'!I86,"AAAAADG/p9U=")</f>
        <v>#VALUE!</v>
      </c>
      <c r="HG17" t="e">
        <f>AND('WJP Rule of Law Index 2012-2013'!J86,"AAAAADG/p9Y=")</f>
        <v>#VALUE!</v>
      </c>
      <c r="HH17" t="e">
        <f>AND('WJP Rule of Law Index 2012-2013'!K86,"AAAAADG/p9c=")</f>
        <v>#VALUE!</v>
      </c>
      <c r="HI17" t="e">
        <f>AND('WJP Rule of Law Index 2012-2013'!#REF!,"AAAAADG/p9g=")</f>
        <v>#REF!</v>
      </c>
      <c r="HJ17" t="e">
        <f>AND('WJP Rule of Law Index 2012-2013'!#REF!,"AAAAADG/p9k=")</f>
        <v>#REF!</v>
      </c>
      <c r="HK17" t="e">
        <f>AND('WJP Rule of Law Index 2012-2013'!#REF!,"AAAAADG/p9o=")</f>
        <v>#REF!</v>
      </c>
      <c r="HL17" t="e">
        <f>AND('WJP Rule of Law Index 2012-2013'!P86,"AAAAADG/p9s=")</f>
        <v>#VALUE!</v>
      </c>
      <c r="HM17" t="e">
        <f>AND('WJP Rule of Law Index 2012-2013'!Q86,"AAAAADG/p9w=")</f>
        <v>#VALUE!</v>
      </c>
      <c r="HN17" t="e">
        <f>AND('WJP Rule of Law Index 2012-2013'!R86,"AAAAADG/p90=")</f>
        <v>#VALUE!</v>
      </c>
      <c r="HO17" t="e">
        <f>AND('WJP Rule of Law Index 2012-2013'!S86,"AAAAADG/p94=")</f>
        <v>#VALUE!</v>
      </c>
      <c r="HP17" t="e">
        <f>AND('WJP Rule of Law Index 2012-2013'!T86,"AAAAADG/p98=")</f>
        <v>#VALUE!</v>
      </c>
      <c r="HQ17" t="e">
        <f>AND('WJP Rule of Law Index 2012-2013'!U86,"AAAAADG/p+A=")</f>
        <v>#VALUE!</v>
      </c>
      <c r="HR17" t="e">
        <f>AND('WJP Rule of Law Index 2012-2013'!V86,"AAAAADG/p+E=")</f>
        <v>#VALUE!</v>
      </c>
      <c r="HS17" t="e">
        <f>AND('WJP Rule of Law Index 2012-2013'!W86,"AAAAADG/p+I=")</f>
        <v>#VALUE!</v>
      </c>
      <c r="HT17" t="e">
        <f>AND('WJP Rule of Law Index 2012-2013'!X86,"AAAAADG/p+M=")</f>
        <v>#VALUE!</v>
      </c>
      <c r="HU17" t="e">
        <f>AND('WJP Rule of Law Index 2012-2013'!Y86,"AAAAADG/p+Q=")</f>
        <v>#VALUE!</v>
      </c>
      <c r="HV17" t="e">
        <f>AND('WJP Rule of Law Index 2012-2013'!Z86,"AAAAADG/p+U=")</f>
        <v>#VALUE!</v>
      </c>
      <c r="HW17" t="e">
        <f>AND('WJP Rule of Law Index 2012-2013'!AA86,"AAAAADG/p+Y=")</f>
        <v>#VALUE!</v>
      </c>
      <c r="HX17" t="e">
        <f>AND('WJP Rule of Law Index 2012-2013'!AB86,"AAAAADG/p+c=")</f>
        <v>#VALUE!</v>
      </c>
      <c r="HY17" t="e">
        <f>AND('WJP Rule of Law Index 2012-2013'!AC86,"AAAAADG/p+g=")</f>
        <v>#VALUE!</v>
      </c>
      <c r="HZ17" t="e">
        <f>AND('WJP Rule of Law Index 2012-2013'!AD86,"AAAAADG/p+k=")</f>
        <v>#VALUE!</v>
      </c>
      <c r="IA17" t="e">
        <f>AND('WJP Rule of Law Index 2012-2013'!AE86,"AAAAADG/p+o=")</f>
        <v>#VALUE!</v>
      </c>
      <c r="IB17" t="e">
        <f>AND('WJP Rule of Law Index 2012-2013'!AF86,"AAAAADG/p+s=")</f>
        <v>#VALUE!</v>
      </c>
      <c r="IC17" t="e">
        <f>AND('WJP Rule of Law Index 2012-2013'!AG86,"AAAAADG/p+w=")</f>
        <v>#VALUE!</v>
      </c>
      <c r="ID17" t="e">
        <f>AND('WJP Rule of Law Index 2012-2013'!#REF!,"AAAAADG/p+0=")</f>
        <v>#REF!</v>
      </c>
      <c r="IE17" t="e">
        <f>AND('WJP Rule of Law Index 2012-2013'!#REF!,"AAAAADG/p+4=")</f>
        <v>#REF!</v>
      </c>
      <c r="IF17" t="e">
        <f>AND('WJP Rule of Law Index 2012-2013'!AH86,"AAAAADG/p+8=")</f>
        <v>#VALUE!</v>
      </c>
      <c r="IG17" t="e">
        <f>AND('WJP Rule of Law Index 2012-2013'!AI86,"AAAAADG/p/A=")</f>
        <v>#VALUE!</v>
      </c>
      <c r="IH17" t="e">
        <f>AND('WJP Rule of Law Index 2012-2013'!AJ86,"AAAAADG/p/E=")</f>
        <v>#VALUE!</v>
      </c>
      <c r="II17" t="e">
        <f>AND('WJP Rule of Law Index 2012-2013'!AK86,"AAAAADG/p/I=")</f>
        <v>#VALUE!</v>
      </c>
      <c r="IJ17" t="e">
        <f>AND('WJP Rule of Law Index 2012-2013'!AL86,"AAAAADG/p/M=")</f>
        <v>#VALUE!</v>
      </c>
      <c r="IK17" t="e">
        <f>AND('WJP Rule of Law Index 2012-2013'!AM86,"AAAAADG/p/Q=")</f>
        <v>#VALUE!</v>
      </c>
      <c r="IL17" t="e">
        <f>AND('WJP Rule of Law Index 2012-2013'!AN86,"AAAAADG/p/U=")</f>
        <v>#VALUE!</v>
      </c>
      <c r="IM17" t="e">
        <f>AND('WJP Rule of Law Index 2012-2013'!AO86,"AAAAADG/p/Y=")</f>
        <v>#VALUE!</v>
      </c>
      <c r="IN17" t="e">
        <f>AND('WJP Rule of Law Index 2012-2013'!AP86,"AAAAADG/p/c=")</f>
        <v>#VALUE!</v>
      </c>
      <c r="IO17" t="e">
        <f>AND('WJP Rule of Law Index 2012-2013'!AQ86,"AAAAADG/p/g=")</f>
        <v>#VALUE!</v>
      </c>
      <c r="IP17" t="e">
        <f>AND('WJP Rule of Law Index 2012-2013'!AR86,"AAAAADG/p/k=")</f>
        <v>#VALUE!</v>
      </c>
      <c r="IQ17" t="e">
        <f>AND('WJP Rule of Law Index 2012-2013'!AS86,"AAAAADG/p/o=")</f>
        <v>#VALUE!</v>
      </c>
      <c r="IR17" t="e">
        <f>AND('WJP Rule of Law Index 2012-2013'!AT86,"AAAAADG/p/s=")</f>
        <v>#VALUE!</v>
      </c>
      <c r="IS17">
        <f>IF('WJP Rule of Law Index 2012-2013'!87:87,"AAAAADG/p/w=",0)</f>
        <v>0</v>
      </c>
      <c r="IT17" t="e">
        <f>AND('WJP Rule of Law Index 2012-2013'!A87,"AAAAADG/p/0=")</f>
        <v>#VALUE!</v>
      </c>
      <c r="IU17" t="e">
        <f>AND('WJP Rule of Law Index 2012-2013'!B87,"AAAAADG/p/4=")</f>
        <v>#VALUE!</v>
      </c>
      <c r="IV17" t="e">
        <f>AND('WJP Rule of Law Index 2012-2013'!#REF!,"AAAAADG/p/8=")</f>
        <v>#REF!</v>
      </c>
    </row>
    <row r="18" spans="1:256" ht="15">
      <c r="A18" t="e">
        <f>AND('WJP Rule of Law Index 2012-2013'!C87,"AAAAAB9X9wA=")</f>
        <v>#VALUE!</v>
      </c>
      <c r="B18" t="e">
        <f>AND('WJP Rule of Law Index 2012-2013'!#REF!,"AAAAAB9X9wE=")</f>
        <v>#REF!</v>
      </c>
      <c r="C18" t="e">
        <f>AND('WJP Rule of Law Index 2012-2013'!D87,"AAAAAB9X9wI=")</f>
        <v>#VALUE!</v>
      </c>
      <c r="D18" t="e">
        <f>AND('WJP Rule of Law Index 2012-2013'!E87,"AAAAAB9X9wM=")</f>
        <v>#VALUE!</v>
      </c>
      <c r="E18" t="e">
        <f>AND('WJP Rule of Law Index 2012-2013'!F87,"AAAAAB9X9wQ=")</f>
        <v>#VALUE!</v>
      </c>
      <c r="F18" t="e">
        <f>AND('WJP Rule of Law Index 2012-2013'!G87,"AAAAAB9X9wU=")</f>
        <v>#VALUE!</v>
      </c>
      <c r="G18" t="e">
        <f>AND('WJP Rule of Law Index 2012-2013'!H87,"AAAAAB9X9wY=")</f>
        <v>#VALUE!</v>
      </c>
      <c r="H18" t="e">
        <f>AND('WJP Rule of Law Index 2012-2013'!I87,"AAAAAB9X9wc=")</f>
        <v>#VALUE!</v>
      </c>
      <c r="I18" t="e">
        <f>AND('WJP Rule of Law Index 2012-2013'!J87,"AAAAAB9X9wg=")</f>
        <v>#VALUE!</v>
      </c>
      <c r="J18" t="e">
        <f>AND('WJP Rule of Law Index 2012-2013'!K87,"AAAAAB9X9wk=")</f>
        <v>#VALUE!</v>
      </c>
      <c r="K18" t="e">
        <f>AND('WJP Rule of Law Index 2012-2013'!#REF!,"AAAAAB9X9wo=")</f>
        <v>#REF!</v>
      </c>
      <c r="L18" t="e">
        <f>AND('WJP Rule of Law Index 2012-2013'!#REF!,"AAAAAB9X9ws=")</f>
        <v>#REF!</v>
      </c>
      <c r="M18" t="e">
        <f>AND('WJP Rule of Law Index 2012-2013'!#REF!,"AAAAAB9X9ww=")</f>
        <v>#REF!</v>
      </c>
      <c r="N18" t="e">
        <f>AND('WJP Rule of Law Index 2012-2013'!P87,"AAAAAB9X9w0=")</f>
        <v>#VALUE!</v>
      </c>
      <c r="O18" t="e">
        <f>AND('WJP Rule of Law Index 2012-2013'!Q87,"AAAAAB9X9w4=")</f>
        <v>#VALUE!</v>
      </c>
      <c r="P18" t="e">
        <f>AND('WJP Rule of Law Index 2012-2013'!R87,"AAAAAB9X9w8=")</f>
        <v>#VALUE!</v>
      </c>
      <c r="Q18" t="e">
        <f>AND('WJP Rule of Law Index 2012-2013'!S87,"AAAAAB9X9xA=")</f>
        <v>#VALUE!</v>
      </c>
      <c r="R18" t="e">
        <f>AND('WJP Rule of Law Index 2012-2013'!T87,"AAAAAB9X9xE=")</f>
        <v>#VALUE!</v>
      </c>
      <c r="S18" t="e">
        <f>AND('WJP Rule of Law Index 2012-2013'!U87,"AAAAAB9X9xI=")</f>
        <v>#VALUE!</v>
      </c>
      <c r="T18" t="e">
        <f>AND('WJP Rule of Law Index 2012-2013'!V87,"AAAAAB9X9xM=")</f>
        <v>#VALUE!</v>
      </c>
      <c r="U18" t="e">
        <f>AND('WJP Rule of Law Index 2012-2013'!W87,"AAAAAB9X9xQ=")</f>
        <v>#VALUE!</v>
      </c>
      <c r="V18" t="e">
        <f>AND('WJP Rule of Law Index 2012-2013'!X87,"AAAAAB9X9xU=")</f>
        <v>#VALUE!</v>
      </c>
      <c r="W18" t="e">
        <f>AND('WJP Rule of Law Index 2012-2013'!Y87,"AAAAAB9X9xY=")</f>
        <v>#VALUE!</v>
      </c>
      <c r="X18" t="e">
        <f>AND('WJP Rule of Law Index 2012-2013'!Z87,"AAAAAB9X9xc=")</f>
        <v>#VALUE!</v>
      </c>
      <c r="Y18" t="e">
        <f>AND('WJP Rule of Law Index 2012-2013'!AA87,"AAAAAB9X9xg=")</f>
        <v>#VALUE!</v>
      </c>
      <c r="Z18" t="e">
        <f>AND('WJP Rule of Law Index 2012-2013'!AB87,"AAAAAB9X9xk=")</f>
        <v>#VALUE!</v>
      </c>
      <c r="AA18" t="e">
        <f>AND('WJP Rule of Law Index 2012-2013'!AC87,"AAAAAB9X9xo=")</f>
        <v>#VALUE!</v>
      </c>
      <c r="AB18" t="e">
        <f>AND('WJP Rule of Law Index 2012-2013'!AD87,"AAAAAB9X9xs=")</f>
        <v>#VALUE!</v>
      </c>
      <c r="AC18" t="e">
        <f>AND('WJP Rule of Law Index 2012-2013'!AE87,"AAAAAB9X9xw=")</f>
        <v>#VALUE!</v>
      </c>
      <c r="AD18" t="e">
        <f>AND('WJP Rule of Law Index 2012-2013'!AF87,"AAAAAB9X9x0=")</f>
        <v>#VALUE!</v>
      </c>
      <c r="AE18" t="e">
        <f>AND('WJP Rule of Law Index 2012-2013'!AG87,"AAAAAB9X9x4=")</f>
        <v>#VALUE!</v>
      </c>
      <c r="AF18" t="e">
        <f>AND('WJP Rule of Law Index 2012-2013'!#REF!,"AAAAAB9X9x8=")</f>
        <v>#REF!</v>
      </c>
      <c r="AG18" t="e">
        <f>AND('WJP Rule of Law Index 2012-2013'!#REF!,"AAAAAB9X9yA=")</f>
        <v>#REF!</v>
      </c>
      <c r="AH18" t="e">
        <f>AND('WJP Rule of Law Index 2012-2013'!AH87,"AAAAAB9X9yE=")</f>
        <v>#VALUE!</v>
      </c>
      <c r="AI18" t="e">
        <f>AND('WJP Rule of Law Index 2012-2013'!AI87,"AAAAAB9X9yI=")</f>
        <v>#VALUE!</v>
      </c>
      <c r="AJ18" t="e">
        <f>AND('WJP Rule of Law Index 2012-2013'!AJ87,"AAAAAB9X9yM=")</f>
        <v>#VALUE!</v>
      </c>
      <c r="AK18" t="e">
        <f>AND('WJP Rule of Law Index 2012-2013'!AK87,"AAAAAB9X9yQ=")</f>
        <v>#VALUE!</v>
      </c>
      <c r="AL18" t="e">
        <f>AND('WJP Rule of Law Index 2012-2013'!AL87,"AAAAAB9X9yU=")</f>
        <v>#VALUE!</v>
      </c>
      <c r="AM18" t="e">
        <f>AND('WJP Rule of Law Index 2012-2013'!AM87,"AAAAAB9X9yY=")</f>
        <v>#VALUE!</v>
      </c>
      <c r="AN18" t="e">
        <f>AND('WJP Rule of Law Index 2012-2013'!AN87,"AAAAAB9X9yc=")</f>
        <v>#VALUE!</v>
      </c>
      <c r="AO18" t="e">
        <f>AND('WJP Rule of Law Index 2012-2013'!AO87,"AAAAAB9X9yg=")</f>
        <v>#VALUE!</v>
      </c>
      <c r="AP18" t="e">
        <f>AND('WJP Rule of Law Index 2012-2013'!AP87,"AAAAAB9X9yk=")</f>
        <v>#VALUE!</v>
      </c>
      <c r="AQ18" t="e">
        <f>AND('WJP Rule of Law Index 2012-2013'!AQ87,"AAAAAB9X9yo=")</f>
        <v>#VALUE!</v>
      </c>
      <c r="AR18" t="e">
        <f>AND('WJP Rule of Law Index 2012-2013'!AR87,"AAAAAB9X9ys=")</f>
        <v>#VALUE!</v>
      </c>
      <c r="AS18" t="e">
        <f>AND('WJP Rule of Law Index 2012-2013'!AS87,"AAAAAB9X9yw=")</f>
        <v>#VALUE!</v>
      </c>
      <c r="AT18" t="e">
        <f>AND('WJP Rule of Law Index 2012-2013'!AT87,"AAAAAB9X9y0=")</f>
        <v>#VALUE!</v>
      </c>
      <c r="AU18" t="str">
        <f>IF('WJP Rule of Law Index 2012-2013'!88:88,"AAAAAB9X9y4=",0)</f>
        <v>AAAAAB9X9y4=</v>
      </c>
      <c r="AV18" t="e">
        <f>AND('WJP Rule of Law Index 2012-2013'!A88,"AAAAAB9X9y8=")</f>
        <v>#VALUE!</v>
      </c>
      <c r="AW18" t="e">
        <f>AND('WJP Rule of Law Index 2012-2013'!B88,"AAAAAB9X9zA=")</f>
        <v>#VALUE!</v>
      </c>
      <c r="AX18" t="e">
        <f>AND('WJP Rule of Law Index 2012-2013'!#REF!,"AAAAAB9X9zE=")</f>
        <v>#REF!</v>
      </c>
      <c r="AY18" t="e">
        <f>AND('WJP Rule of Law Index 2012-2013'!C88,"AAAAAB9X9zI=")</f>
        <v>#VALUE!</v>
      </c>
      <c r="AZ18" t="e">
        <f>AND('WJP Rule of Law Index 2012-2013'!#REF!,"AAAAAB9X9zM=")</f>
        <v>#REF!</v>
      </c>
      <c r="BA18" t="e">
        <f>AND('WJP Rule of Law Index 2012-2013'!D88,"AAAAAB9X9zQ=")</f>
        <v>#VALUE!</v>
      </c>
      <c r="BB18" t="e">
        <f>AND('WJP Rule of Law Index 2012-2013'!E88,"AAAAAB9X9zU=")</f>
        <v>#VALUE!</v>
      </c>
      <c r="BC18" t="e">
        <f>AND('WJP Rule of Law Index 2012-2013'!F88,"AAAAAB9X9zY=")</f>
        <v>#VALUE!</v>
      </c>
      <c r="BD18" t="e">
        <f>AND('WJP Rule of Law Index 2012-2013'!G88,"AAAAAB9X9zc=")</f>
        <v>#VALUE!</v>
      </c>
      <c r="BE18" t="e">
        <f>AND('WJP Rule of Law Index 2012-2013'!H88,"AAAAAB9X9zg=")</f>
        <v>#VALUE!</v>
      </c>
      <c r="BF18" t="e">
        <f>AND('WJP Rule of Law Index 2012-2013'!I88,"AAAAAB9X9zk=")</f>
        <v>#VALUE!</v>
      </c>
      <c r="BG18" t="e">
        <f>AND('WJP Rule of Law Index 2012-2013'!J88,"AAAAAB9X9zo=")</f>
        <v>#VALUE!</v>
      </c>
      <c r="BH18" t="e">
        <f>AND('WJP Rule of Law Index 2012-2013'!K88,"AAAAAB9X9zs=")</f>
        <v>#VALUE!</v>
      </c>
      <c r="BI18" t="e">
        <f>AND('WJP Rule of Law Index 2012-2013'!#REF!,"AAAAAB9X9zw=")</f>
        <v>#REF!</v>
      </c>
      <c r="BJ18" t="e">
        <f>AND('WJP Rule of Law Index 2012-2013'!#REF!,"AAAAAB9X9z0=")</f>
        <v>#REF!</v>
      </c>
      <c r="BK18" t="e">
        <f>AND('WJP Rule of Law Index 2012-2013'!#REF!,"AAAAAB9X9z4=")</f>
        <v>#REF!</v>
      </c>
      <c r="BL18" t="e">
        <f>AND('WJP Rule of Law Index 2012-2013'!P88,"AAAAAB9X9z8=")</f>
        <v>#VALUE!</v>
      </c>
      <c r="BM18" t="e">
        <f>AND('WJP Rule of Law Index 2012-2013'!Q88,"AAAAAB9X90A=")</f>
        <v>#VALUE!</v>
      </c>
      <c r="BN18" t="e">
        <f>AND('WJP Rule of Law Index 2012-2013'!R88,"AAAAAB9X90E=")</f>
        <v>#VALUE!</v>
      </c>
      <c r="BO18" t="e">
        <f>AND('WJP Rule of Law Index 2012-2013'!S88,"AAAAAB9X90I=")</f>
        <v>#VALUE!</v>
      </c>
      <c r="BP18" t="e">
        <f>AND('WJP Rule of Law Index 2012-2013'!T88,"AAAAAB9X90M=")</f>
        <v>#VALUE!</v>
      </c>
      <c r="BQ18" t="e">
        <f>AND('WJP Rule of Law Index 2012-2013'!U88,"AAAAAB9X90Q=")</f>
        <v>#VALUE!</v>
      </c>
      <c r="BR18" t="e">
        <f>AND('WJP Rule of Law Index 2012-2013'!V88,"AAAAAB9X90U=")</f>
        <v>#VALUE!</v>
      </c>
      <c r="BS18" t="e">
        <f>AND('WJP Rule of Law Index 2012-2013'!W88,"AAAAAB9X90Y=")</f>
        <v>#VALUE!</v>
      </c>
      <c r="BT18" t="e">
        <f>AND('WJP Rule of Law Index 2012-2013'!X88,"AAAAAB9X90c=")</f>
        <v>#VALUE!</v>
      </c>
      <c r="BU18" t="e">
        <f>AND('WJP Rule of Law Index 2012-2013'!Y88,"AAAAAB9X90g=")</f>
        <v>#VALUE!</v>
      </c>
      <c r="BV18" t="e">
        <f>AND('WJP Rule of Law Index 2012-2013'!Z88,"AAAAAB9X90k=")</f>
        <v>#VALUE!</v>
      </c>
      <c r="BW18" t="e">
        <f>AND('WJP Rule of Law Index 2012-2013'!AA88,"AAAAAB9X90o=")</f>
        <v>#VALUE!</v>
      </c>
      <c r="BX18" t="e">
        <f>AND('WJP Rule of Law Index 2012-2013'!AB88,"AAAAAB9X90s=")</f>
        <v>#VALUE!</v>
      </c>
      <c r="BY18" t="e">
        <f>AND('WJP Rule of Law Index 2012-2013'!AC88,"AAAAAB9X90w=")</f>
        <v>#VALUE!</v>
      </c>
      <c r="BZ18" t="e">
        <f>AND('WJP Rule of Law Index 2012-2013'!AD88,"AAAAAB9X900=")</f>
        <v>#VALUE!</v>
      </c>
      <c r="CA18" t="e">
        <f>AND('WJP Rule of Law Index 2012-2013'!AE88,"AAAAAB9X904=")</f>
        <v>#VALUE!</v>
      </c>
      <c r="CB18" t="e">
        <f>AND('WJP Rule of Law Index 2012-2013'!AF88,"AAAAAB9X908=")</f>
        <v>#VALUE!</v>
      </c>
      <c r="CC18" t="e">
        <f>AND('WJP Rule of Law Index 2012-2013'!AG88,"AAAAAB9X91A=")</f>
        <v>#VALUE!</v>
      </c>
      <c r="CD18" t="e">
        <f>AND('WJP Rule of Law Index 2012-2013'!#REF!,"AAAAAB9X91E=")</f>
        <v>#REF!</v>
      </c>
      <c r="CE18" t="e">
        <f>AND('WJP Rule of Law Index 2012-2013'!#REF!,"AAAAAB9X91I=")</f>
        <v>#REF!</v>
      </c>
      <c r="CF18" t="e">
        <f>AND('WJP Rule of Law Index 2012-2013'!AH88,"AAAAAB9X91M=")</f>
        <v>#VALUE!</v>
      </c>
      <c r="CG18" t="e">
        <f>AND('WJP Rule of Law Index 2012-2013'!AI88,"AAAAAB9X91Q=")</f>
        <v>#VALUE!</v>
      </c>
      <c r="CH18" t="e">
        <f>AND('WJP Rule of Law Index 2012-2013'!AJ88,"AAAAAB9X91U=")</f>
        <v>#VALUE!</v>
      </c>
      <c r="CI18" t="e">
        <f>AND('WJP Rule of Law Index 2012-2013'!AK88,"AAAAAB9X91Y=")</f>
        <v>#VALUE!</v>
      </c>
      <c r="CJ18" t="e">
        <f>AND('WJP Rule of Law Index 2012-2013'!AL88,"AAAAAB9X91c=")</f>
        <v>#VALUE!</v>
      </c>
      <c r="CK18" t="e">
        <f>AND('WJP Rule of Law Index 2012-2013'!AM88,"AAAAAB9X91g=")</f>
        <v>#VALUE!</v>
      </c>
      <c r="CL18" t="e">
        <f>AND('WJP Rule of Law Index 2012-2013'!AN88,"AAAAAB9X91k=")</f>
        <v>#VALUE!</v>
      </c>
      <c r="CM18" t="e">
        <f>AND('WJP Rule of Law Index 2012-2013'!AO88,"AAAAAB9X91o=")</f>
        <v>#VALUE!</v>
      </c>
      <c r="CN18" t="e">
        <f>AND('WJP Rule of Law Index 2012-2013'!AP88,"AAAAAB9X91s=")</f>
        <v>#VALUE!</v>
      </c>
      <c r="CO18" t="e">
        <f>AND('WJP Rule of Law Index 2012-2013'!AQ88,"AAAAAB9X91w=")</f>
        <v>#VALUE!</v>
      </c>
      <c r="CP18" t="e">
        <f>AND('WJP Rule of Law Index 2012-2013'!AR88,"AAAAAB9X910=")</f>
        <v>#VALUE!</v>
      </c>
      <c r="CQ18" t="e">
        <f>AND('WJP Rule of Law Index 2012-2013'!AS88,"AAAAAB9X914=")</f>
        <v>#VALUE!</v>
      </c>
      <c r="CR18" t="e">
        <f>AND('WJP Rule of Law Index 2012-2013'!AT88,"AAAAAB9X918=")</f>
        <v>#VALUE!</v>
      </c>
      <c r="CS18">
        <f>IF('WJP Rule of Law Index 2012-2013'!89:89,"AAAAAB9X92A=",0)</f>
        <v>0</v>
      </c>
      <c r="CT18" t="e">
        <f>AND('WJP Rule of Law Index 2012-2013'!A89,"AAAAAB9X92E=")</f>
        <v>#VALUE!</v>
      </c>
      <c r="CU18" t="e">
        <f>AND('WJP Rule of Law Index 2012-2013'!B89,"AAAAAB9X92I=")</f>
        <v>#VALUE!</v>
      </c>
      <c r="CV18" t="e">
        <f>AND('WJP Rule of Law Index 2012-2013'!#REF!,"AAAAAB9X92M=")</f>
        <v>#REF!</v>
      </c>
      <c r="CW18" t="e">
        <f>AND('WJP Rule of Law Index 2012-2013'!C89,"AAAAAB9X92Q=")</f>
        <v>#VALUE!</v>
      </c>
      <c r="CX18" t="e">
        <f>AND('WJP Rule of Law Index 2012-2013'!#REF!,"AAAAAB9X92U=")</f>
        <v>#REF!</v>
      </c>
      <c r="CY18" t="e">
        <f>AND('WJP Rule of Law Index 2012-2013'!D89,"AAAAAB9X92Y=")</f>
        <v>#VALUE!</v>
      </c>
      <c r="CZ18" t="e">
        <f>AND('WJP Rule of Law Index 2012-2013'!E89,"AAAAAB9X92c=")</f>
        <v>#VALUE!</v>
      </c>
      <c r="DA18" t="e">
        <f>AND('WJP Rule of Law Index 2012-2013'!F89,"AAAAAB9X92g=")</f>
        <v>#VALUE!</v>
      </c>
      <c r="DB18" t="e">
        <f>AND('WJP Rule of Law Index 2012-2013'!G89,"AAAAAB9X92k=")</f>
        <v>#VALUE!</v>
      </c>
      <c r="DC18" t="e">
        <f>AND('WJP Rule of Law Index 2012-2013'!H89,"AAAAAB9X92o=")</f>
        <v>#VALUE!</v>
      </c>
      <c r="DD18" t="e">
        <f>AND('WJP Rule of Law Index 2012-2013'!I89,"AAAAAB9X92s=")</f>
        <v>#VALUE!</v>
      </c>
      <c r="DE18" t="e">
        <f>AND('WJP Rule of Law Index 2012-2013'!J89,"AAAAAB9X92w=")</f>
        <v>#VALUE!</v>
      </c>
      <c r="DF18" t="e">
        <f>AND('WJP Rule of Law Index 2012-2013'!K89,"AAAAAB9X920=")</f>
        <v>#VALUE!</v>
      </c>
      <c r="DG18" t="e">
        <f>AND('WJP Rule of Law Index 2012-2013'!#REF!,"AAAAAB9X924=")</f>
        <v>#REF!</v>
      </c>
      <c r="DH18" t="e">
        <f>AND('WJP Rule of Law Index 2012-2013'!#REF!,"AAAAAB9X928=")</f>
        <v>#REF!</v>
      </c>
      <c r="DI18" t="e">
        <f>AND('WJP Rule of Law Index 2012-2013'!#REF!,"AAAAAB9X93A=")</f>
        <v>#REF!</v>
      </c>
      <c r="DJ18" t="e">
        <f>AND('WJP Rule of Law Index 2012-2013'!P89,"AAAAAB9X93E=")</f>
        <v>#VALUE!</v>
      </c>
      <c r="DK18" t="e">
        <f>AND('WJP Rule of Law Index 2012-2013'!Q89,"AAAAAB9X93I=")</f>
        <v>#VALUE!</v>
      </c>
      <c r="DL18" t="e">
        <f>AND('WJP Rule of Law Index 2012-2013'!R89,"AAAAAB9X93M=")</f>
        <v>#VALUE!</v>
      </c>
      <c r="DM18" t="e">
        <f>AND('WJP Rule of Law Index 2012-2013'!S89,"AAAAAB9X93Q=")</f>
        <v>#VALUE!</v>
      </c>
      <c r="DN18" t="e">
        <f>AND('WJP Rule of Law Index 2012-2013'!T89,"AAAAAB9X93U=")</f>
        <v>#VALUE!</v>
      </c>
      <c r="DO18" t="e">
        <f>AND('WJP Rule of Law Index 2012-2013'!U89,"AAAAAB9X93Y=")</f>
        <v>#VALUE!</v>
      </c>
      <c r="DP18" t="e">
        <f>AND('WJP Rule of Law Index 2012-2013'!V89,"AAAAAB9X93c=")</f>
        <v>#VALUE!</v>
      </c>
      <c r="DQ18" t="e">
        <f>AND('WJP Rule of Law Index 2012-2013'!W89,"AAAAAB9X93g=")</f>
        <v>#VALUE!</v>
      </c>
      <c r="DR18" t="e">
        <f>AND('WJP Rule of Law Index 2012-2013'!X89,"AAAAAB9X93k=")</f>
        <v>#VALUE!</v>
      </c>
      <c r="DS18" t="e">
        <f>AND('WJP Rule of Law Index 2012-2013'!Y89,"AAAAAB9X93o=")</f>
        <v>#VALUE!</v>
      </c>
      <c r="DT18" t="e">
        <f>AND('WJP Rule of Law Index 2012-2013'!Z89,"AAAAAB9X93s=")</f>
        <v>#VALUE!</v>
      </c>
      <c r="DU18" t="e">
        <f>AND('WJP Rule of Law Index 2012-2013'!AA89,"AAAAAB9X93w=")</f>
        <v>#VALUE!</v>
      </c>
      <c r="DV18" t="e">
        <f>AND('WJP Rule of Law Index 2012-2013'!AB89,"AAAAAB9X930=")</f>
        <v>#VALUE!</v>
      </c>
      <c r="DW18" t="e">
        <f>AND('WJP Rule of Law Index 2012-2013'!AC89,"AAAAAB9X934=")</f>
        <v>#VALUE!</v>
      </c>
      <c r="DX18" t="e">
        <f>AND('WJP Rule of Law Index 2012-2013'!AD89,"AAAAAB9X938=")</f>
        <v>#VALUE!</v>
      </c>
      <c r="DY18" t="e">
        <f>AND('WJP Rule of Law Index 2012-2013'!AE89,"AAAAAB9X94A=")</f>
        <v>#VALUE!</v>
      </c>
      <c r="DZ18" t="e">
        <f>AND('WJP Rule of Law Index 2012-2013'!AF89,"AAAAAB9X94E=")</f>
        <v>#VALUE!</v>
      </c>
      <c r="EA18" t="e">
        <f>AND('WJP Rule of Law Index 2012-2013'!AG89,"AAAAAB9X94I=")</f>
        <v>#VALUE!</v>
      </c>
      <c r="EB18" t="e">
        <f>AND('WJP Rule of Law Index 2012-2013'!#REF!,"AAAAAB9X94M=")</f>
        <v>#REF!</v>
      </c>
      <c r="EC18" t="e">
        <f>AND('WJP Rule of Law Index 2012-2013'!#REF!,"AAAAAB9X94Q=")</f>
        <v>#REF!</v>
      </c>
      <c r="ED18" t="e">
        <f>AND('WJP Rule of Law Index 2012-2013'!AH89,"AAAAAB9X94U=")</f>
        <v>#VALUE!</v>
      </c>
      <c r="EE18" t="e">
        <f>AND('WJP Rule of Law Index 2012-2013'!AI89,"AAAAAB9X94Y=")</f>
        <v>#VALUE!</v>
      </c>
      <c r="EF18" t="e">
        <f>AND('WJP Rule of Law Index 2012-2013'!AJ89,"AAAAAB9X94c=")</f>
        <v>#VALUE!</v>
      </c>
      <c r="EG18" t="e">
        <f>AND('WJP Rule of Law Index 2012-2013'!AK89,"AAAAAB9X94g=")</f>
        <v>#VALUE!</v>
      </c>
      <c r="EH18" t="e">
        <f>AND('WJP Rule of Law Index 2012-2013'!AL89,"AAAAAB9X94k=")</f>
        <v>#VALUE!</v>
      </c>
      <c r="EI18" t="e">
        <f>AND('WJP Rule of Law Index 2012-2013'!AM89,"AAAAAB9X94o=")</f>
        <v>#VALUE!</v>
      </c>
      <c r="EJ18" t="e">
        <f>AND('WJP Rule of Law Index 2012-2013'!AN89,"AAAAAB9X94s=")</f>
        <v>#VALUE!</v>
      </c>
      <c r="EK18" t="e">
        <f>AND('WJP Rule of Law Index 2012-2013'!AO89,"AAAAAB9X94w=")</f>
        <v>#VALUE!</v>
      </c>
      <c r="EL18" t="e">
        <f>AND('WJP Rule of Law Index 2012-2013'!AP89,"AAAAAB9X940=")</f>
        <v>#VALUE!</v>
      </c>
      <c r="EM18" t="e">
        <f>AND('WJP Rule of Law Index 2012-2013'!AQ89,"AAAAAB9X944=")</f>
        <v>#VALUE!</v>
      </c>
      <c r="EN18" t="e">
        <f>AND('WJP Rule of Law Index 2012-2013'!AR89,"AAAAAB9X948=")</f>
        <v>#VALUE!</v>
      </c>
      <c r="EO18" t="e">
        <f>AND('WJP Rule of Law Index 2012-2013'!AS89,"AAAAAB9X95A=")</f>
        <v>#VALUE!</v>
      </c>
      <c r="EP18" t="e">
        <f>AND('WJP Rule of Law Index 2012-2013'!AT89,"AAAAAB9X95E=")</f>
        <v>#VALUE!</v>
      </c>
      <c r="EQ18">
        <f>IF('WJP Rule of Law Index 2012-2013'!90:90,"AAAAAB9X95I=",0)</f>
        <v>0</v>
      </c>
      <c r="ER18" t="e">
        <f>AND('WJP Rule of Law Index 2012-2013'!A90,"AAAAAB9X95M=")</f>
        <v>#VALUE!</v>
      </c>
      <c r="ES18" t="e">
        <f>AND('WJP Rule of Law Index 2012-2013'!B90,"AAAAAB9X95Q=")</f>
        <v>#VALUE!</v>
      </c>
      <c r="ET18" t="e">
        <f>AND('WJP Rule of Law Index 2012-2013'!#REF!,"AAAAAB9X95U=")</f>
        <v>#REF!</v>
      </c>
      <c r="EU18" t="e">
        <f>AND('WJP Rule of Law Index 2012-2013'!C90,"AAAAAB9X95Y=")</f>
        <v>#VALUE!</v>
      </c>
      <c r="EV18" t="e">
        <f>AND('WJP Rule of Law Index 2012-2013'!#REF!,"AAAAAB9X95c=")</f>
        <v>#REF!</v>
      </c>
      <c r="EW18" t="e">
        <f>AND('WJP Rule of Law Index 2012-2013'!D90,"AAAAAB9X95g=")</f>
        <v>#VALUE!</v>
      </c>
      <c r="EX18" t="e">
        <f>AND('WJP Rule of Law Index 2012-2013'!E90,"AAAAAB9X95k=")</f>
        <v>#VALUE!</v>
      </c>
      <c r="EY18" t="e">
        <f>AND('WJP Rule of Law Index 2012-2013'!F90,"AAAAAB9X95o=")</f>
        <v>#VALUE!</v>
      </c>
      <c r="EZ18" t="e">
        <f>AND('WJP Rule of Law Index 2012-2013'!G90,"AAAAAB9X95s=")</f>
        <v>#VALUE!</v>
      </c>
      <c r="FA18" t="e">
        <f>AND('WJP Rule of Law Index 2012-2013'!H90,"AAAAAB9X95w=")</f>
        <v>#VALUE!</v>
      </c>
      <c r="FB18" t="e">
        <f>AND('WJP Rule of Law Index 2012-2013'!I90,"AAAAAB9X950=")</f>
        <v>#VALUE!</v>
      </c>
      <c r="FC18" t="e">
        <f>AND('WJP Rule of Law Index 2012-2013'!J90,"AAAAAB9X954=")</f>
        <v>#VALUE!</v>
      </c>
      <c r="FD18" t="e">
        <f>AND('WJP Rule of Law Index 2012-2013'!K90,"AAAAAB9X958=")</f>
        <v>#VALUE!</v>
      </c>
      <c r="FE18" t="e">
        <f>AND('WJP Rule of Law Index 2012-2013'!#REF!,"AAAAAB9X96A=")</f>
        <v>#REF!</v>
      </c>
      <c r="FF18" t="e">
        <f>AND('WJP Rule of Law Index 2012-2013'!#REF!,"AAAAAB9X96E=")</f>
        <v>#REF!</v>
      </c>
      <c r="FG18" t="e">
        <f>AND('WJP Rule of Law Index 2012-2013'!#REF!,"AAAAAB9X96I=")</f>
        <v>#REF!</v>
      </c>
      <c r="FH18" t="e">
        <f>AND('WJP Rule of Law Index 2012-2013'!P90,"AAAAAB9X96M=")</f>
        <v>#VALUE!</v>
      </c>
      <c r="FI18" t="e">
        <f>AND('WJP Rule of Law Index 2012-2013'!Q90,"AAAAAB9X96Q=")</f>
        <v>#VALUE!</v>
      </c>
      <c r="FJ18" t="e">
        <f>AND('WJP Rule of Law Index 2012-2013'!R90,"AAAAAB9X96U=")</f>
        <v>#VALUE!</v>
      </c>
      <c r="FK18" t="e">
        <f>AND('WJP Rule of Law Index 2012-2013'!S90,"AAAAAB9X96Y=")</f>
        <v>#VALUE!</v>
      </c>
      <c r="FL18" t="e">
        <f>AND('WJP Rule of Law Index 2012-2013'!T90,"AAAAAB9X96c=")</f>
        <v>#VALUE!</v>
      </c>
      <c r="FM18" t="e">
        <f>AND('WJP Rule of Law Index 2012-2013'!U90,"AAAAAB9X96g=")</f>
        <v>#VALUE!</v>
      </c>
      <c r="FN18" t="e">
        <f>AND('WJP Rule of Law Index 2012-2013'!V90,"AAAAAB9X96k=")</f>
        <v>#VALUE!</v>
      </c>
      <c r="FO18" t="e">
        <f>AND('WJP Rule of Law Index 2012-2013'!W90,"AAAAAB9X96o=")</f>
        <v>#VALUE!</v>
      </c>
      <c r="FP18" t="e">
        <f>AND('WJP Rule of Law Index 2012-2013'!X90,"AAAAAB9X96s=")</f>
        <v>#VALUE!</v>
      </c>
      <c r="FQ18" t="e">
        <f>AND('WJP Rule of Law Index 2012-2013'!Y90,"AAAAAB9X96w=")</f>
        <v>#VALUE!</v>
      </c>
      <c r="FR18" t="e">
        <f>AND('WJP Rule of Law Index 2012-2013'!Z90,"AAAAAB9X960=")</f>
        <v>#VALUE!</v>
      </c>
      <c r="FS18" t="e">
        <f>AND('WJP Rule of Law Index 2012-2013'!AA90,"AAAAAB9X964=")</f>
        <v>#VALUE!</v>
      </c>
      <c r="FT18" t="e">
        <f>AND('WJP Rule of Law Index 2012-2013'!AB90,"AAAAAB9X968=")</f>
        <v>#VALUE!</v>
      </c>
      <c r="FU18" t="e">
        <f>AND('WJP Rule of Law Index 2012-2013'!AC90,"AAAAAB9X97A=")</f>
        <v>#VALUE!</v>
      </c>
      <c r="FV18" t="e">
        <f>AND('WJP Rule of Law Index 2012-2013'!AD90,"AAAAAB9X97E=")</f>
        <v>#VALUE!</v>
      </c>
      <c r="FW18" t="e">
        <f>AND('WJP Rule of Law Index 2012-2013'!AE90,"AAAAAB9X97I=")</f>
        <v>#VALUE!</v>
      </c>
      <c r="FX18" t="e">
        <f>AND('WJP Rule of Law Index 2012-2013'!AF90,"AAAAAB9X97M=")</f>
        <v>#VALUE!</v>
      </c>
      <c r="FY18" t="e">
        <f>AND('WJP Rule of Law Index 2012-2013'!AG90,"AAAAAB9X97Q=")</f>
        <v>#VALUE!</v>
      </c>
      <c r="FZ18" t="e">
        <f>AND('WJP Rule of Law Index 2012-2013'!#REF!,"AAAAAB9X97U=")</f>
        <v>#REF!</v>
      </c>
      <c r="GA18" t="e">
        <f>AND('WJP Rule of Law Index 2012-2013'!#REF!,"AAAAAB9X97Y=")</f>
        <v>#REF!</v>
      </c>
      <c r="GB18" t="e">
        <f>AND('WJP Rule of Law Index 2012-2013'!AH90,"AAAAAB9X97c=")</f>
        <v>#VALUE!</v>
      </c>
      <c r="GC18" t="e">
        <f>AND('WJP Rule of Law Index 2012-2013'!AI90,"AAAAAB9X97g=")</f>
        <v>#VALUE!</v>
      </c>
      <c r="GD18" t="e">
        <f>AND('WJP Rule of Law Index 2012-2013'!AJ90,"AAAAAB9X97k=")</f>
        <v>#VALUE!</v>
      </c>
      <c r="GE18" t="e">
        <f>AND('WJP Rule of Law Index 2012-2013'!AK90,"AAAAAB9X97o=")</f>
        <v>#VALUE!</v>
      </c>
      <c r="GF18" t="e">
        <f>AND('WJP Rule of Law Index 2012-2013'!AL90,"AAAAAB9X97s=")</f>
        <v>#VALUE!</v>
      </c>
      <c r="GG18" t="e">
        <f>AND('WJP Rule of Law Index 2012-2013'!AM90,"AAAAAB9X97w=")</f>
        <v>#VALUE!</v>
      </c>
      <c r="GH18" t="e">
        <f>AND('WJP Rule of Law Index 2012-2013'!AN90,"AAAAAB9X970=")</f>
        <v>#VALUE!</v>
      </c>
      <c r="GI18" t="e">
        <f>AND('WJP Rule of Law Index 2012-2013'!AO90,"AAAAAB9X974=")</f>
        <v>#VALUE!</v>
      </c>
      <c r="GJ18" t="e">
        <f>AND('WJP Rule of Law Index 2012-2013'!AP90,"AAAAAB9X978=")</f>
        <v>#VALUE!</v>
      </c>
      <c r="GK18" t="e">
        <f>AND('WJP Rule of Law Index 2012-2013'!AQ90,"AAAAAB9X98A=")</f>
        <v>#VALUE!</v>
      </c>
      <c r="GL18" t="e">
        <f>AND('WJP Rule of Law Index 2012-2013'!AR90,"AAAAAB9X98E=")</f>
        <v>#VALUE!</v>
      </c>
      <c r="GM18" t="e">
        <f>AND('WJP Rule of Law Index 2012-2013'!AS90,"AAAAAB9X98I=")</f>
        <v>#VALUE!</v>
      </c>
      <c r="GN18" t="e">
        <f>AND('WJP Rule of Law Index 2012-2013'!AT90,"AAAAAB9X98M=")</f>
        <v>#VALUE!</v>
      </c>
      <c r="GO18">
        <f>IF('WJP Rule of Law Index 2012-2013'!91:91,"AAAAAB9X98Q=",0)</f>
        <v>0</v>
      </c>
      <c r="GP18" t="e">
        <f>AND('WJP Rule of Law Index 2012-2013'!A91,"AAAAAB9X98U=")</f>
        <v>#VALUE!</v>
      </c>
      <c r="GQ18" t="e">
        <f>AND('WJP Rule of Law Index 2012-2013'!B91,"AAAAAB9X98Y=")</f>
        <v>#VALUE!</v>
      </c>
      <c r="GR18" t="e">
        <f>AND('WJP Rule of Law Index 2012-2013'!#REF!,"AAAAAB9X98c=")</f>
        <v>#REF!</v>
      </c>
      <c r="GS18" t="e">
        <f>AND('WJP Rule of Law Index 2012-2013'!C91,"AAAAAB9X98g=")</f>
        <v>#VALUE!</v>
      </c>
      <c r="GT18" t="e">
        <f>AND('WJP Rule of Law Index 2012-2013'!#REF!,"AAAAAB9X98k=")</f>
        <v>#REF!</v>
      </c>
      <c r="GU18" t="e">
        <f>AND('WJP Rule of Law Index 2012-2013'!D91,"AAAAAB9X98o=")</f>
        <v>#VALUE!</v>
      </c>
      <c r="GV18" t="e">
        <f>AND('WJP Rule of Law Index 2012-2013'!E91,"AAAAAB9X98s=")</f>
        <v>#VALUE!</v>
      </c>
      <c r="GW18" t="e">
        <f>AND('WJP Rule of Law Index 2012-2013'!F91,"AAAAAB9X98w=")</f>
        <v>#VALUE!</v>
      </c>
      <c r="GX18" t="e">
        <f>AND('WJP Rule of Law Index 2012-2013'!G91,"AAAAAB9X980=")</f>
        <v>#VALUE!</v>
      </c>
      <c r="GY18" t="e">
        <f>AND('WJP Rule of Law Index 2012-2013'!H91,"AAAAAB9X984=")</f>
        <v>#VALUE!</v>
      </c>
      <c r="GZ18" t="e">
        <f>AND('WJP Rule of Law Index 2012-2013'!I91,"AAAAAB9X988=")</f>
        <v>#VALUE!</v>
      </c>
      <c r="HA18" t="e">
        <f>AND('WJP Rule of Law Index 2012-2013'!J91,"AAAAAB9X99A=")</f>
        <v>#VALUE!</v>
      </c>
      <c r="HB18" t="e">
        <f>AND('WJP Rule of Law Index 2012-2013'!K91,"AAAAAB9X99E=")</f>
        <v>#VALUE!</v>
      </c>
      <c r="HC18" t="e">
        <f>AND('WJP Rule of Law Index 2012-2013'!#REF!,"AAAAAB9X99I=")</f>
        <v>#REF!</v>
      </c>
      <c r="HD18" t="e">
        <f>AND('WJP Rule of Law Index 2012-2013'!#REF!,"AAAAAB9X99M=")</f>
        <v>#REF!</v>
      </c>
      <c r="HE18" t="e">
        <f>AND('WJP Rule of Law Index 2012-2013'!#REF!,"AAAAAB9X99Q=")</f>
        <v>#REF!</v>
      </c>
      <c r="HF18" t="e">
        <f>AND('WJP Rule of Law Index 2012-2013'!P91,"AAAAAB9X99U=")</f>
        <v>#VALUE!</v>
      </c>
      <c r="HG18" t="e">
        <f>AND('WJP Rule of Law Index 2012-2013'!Q91,"AAAAAB9X99Y=")</f>
        <v>#VALUE!</v>
      </c>
      <c r="HH18" t="e">
        <f>AND('WJP Rule of Law Index 2012-2013'!R91,"AAAAAB9X99c=")</f>
        <v>#VALUE!</v>
      </c>
      <c r="HI18" t="e">
        <f>AND('WJP Rule of Law Index 2012-2013'!S91,"AAAAAB9X99g=")</f>
        <v>#VALUE!</v>
      </c>
      <c r="HJ18" t="e">
        <f>AND('WJP Rule of Law Index 2012-2013'!T91,"AAAAAB9X99k=")</f>
        <v>#VALUE!</v>
      </c>
      <c r="HK18" t="e">
        <f>AND('WJP Rule of Law Index 2012-2013'!U91,"AAAAAB9X99o=")</f>
        <v>#VALUE!</v>
      </c>
      <c r="HL18" t="e">
        <f>AND('WJP Rule of Law Index 2012-2013'!V91,"AAAAAB9X99s=")</f>
        <v>#VALUE!</v>
      </c>
      <c r="HM18" t="e">
        <f>AND('WJP Rule of Law Index 2012-2013'!W91,"AAAAAB9X99w=")</f>
        <v>#VALUE!</v>
      </c>
      <c r="HN18" t="e">
        <f>AND('WJP Rule of Law Index 2012-2013'!X91,"AAAAAB9X990=")</f>
        <v>#VALUE!</v>
      </c>
      <c r="HO18" t="e">
        <f>AND('WJP Rule of Law Index 2012-2013'!Y91,"AAAAAB9X994=")</f>
        <v>#VALUE!</v>
      </c>
      <c r="HP18" t="e">
        <f>AND('WJP Rule of Law Index 2012-2013'!Z91,"AAAAAB9X998=")</f>
        <v>#VALUE!</v>
      </c>
      <c r="HQ18" t="e">
        <f>AND('WJP Rule of Law Index 2012-2013'!AA91,"AAAAAB9X9+A=")</f>
        <v>#VALUE!</v>
      </c>
      <c r="HR18" t="e">
        <f>AND('WJP Rule of Law Index 2012-2013'!AB91,"AAAAAB9X9+E=")</f>
        <v>#VALUE!</v>
      </c>
      <c r="HS18" t="e">
        <f>AND('WJP Rule of Law Index 2012-2013'!AC91,"AAAAAB9X9+I=")</f>
        <v>#VALUE!</v>
      </c>
      <c r="HT18" t="e">
        <f>AND('WJP Rule of Law Index 2012-2013'!AD91,"AAAAAB9X9+M=")</f>
        <v>#VALUE!</v>
      </c>
      <c r="HU18" t="e">
        <f>AND('WJP Rule of Law Index 2012-2013'!AE91,"AAAAAB9X9+Q=")</f>
        <v>#VALUE!</v>
      </c>
      <c r="HV18" t="e">
        <f>AND('WJP Rule of Law Index 2012-2013'!AF91,"AAAAAB9X9+U=")</f>
        <v>#VALUE!</v>
      </c>
      <c r="HW18" t="e">
        <f>AND('WJP Rule of Law Index 2012-2013'!AG91,"AAAAAB9X9+Y=")</f>
        <v>#VALUE!</v>
      </c>
      <c r="HX18" t="e">
        <f>AND('WJP Rule of Law Index 2012-2013'!#REF!,"AAAAAB9X9+c=")</f>
        <v>#REF!</v>
      </c>
      <c r="HY18" t="e">
        <f>AND('WJP Rule of Law Index 2012-2013'!#REF!,"AAAAAB9X9+g=")</f>
        <v>#REF!</v>
      </c>
      <c r="HZ18" t="e">
        <f>AND('WJP Rule of Law Index 2012-2013'!AH91,"AAAAAB9X9+k=")</f>
        <v>#VALUE!</v>
      </c>
      <c r="IA18" t="e">
        <f>AND('WJP Rule of Law Index 2012-2013'!AI91,"AAAAAB9X9+o=")</f>
        <v>#VALUE!</v>
      </c>
      <c r="IB18" t="e">
        <f>AND('WJP Rule of Law Index 2012-2013'!AJ91,"AAAAAB9X9+s=")</f>
        <v>#VALUE!</v>
      </c>
      <c r="IC18" t="e">
        <f>AND('WJP Rule of Law Index 2012-2013'!AK91,"AAAAAB9X9+w=")</f>
        <v>#VALUE!</v>
      </c>
      <c r="ID18" t="e">
        <f>AND('WJP Rule of Law Index 2012-2013'!AL91,"AAAAAB9X9+0=")</f>
        <v>#VALUE!</v>
      </c>
      <c r="IE18" t="e">
        <f>AND('WJP Rule of Law Index 2012-2013'!AM91,"AAAAAB9X9+4=")</f>
        <v>#VALUE!</v>
      </c>
      <c r="IF18" t="e">
        <f>AND('WJP Rule of Law Index 2012-2013'!AN91,"AAAAAB9X9+8=")</f>
        <v>#VALUE!</v>
      </c>
      <c r="IG18" t="e">
        <f>AND('WJP Rule of Law Index 2012-2013'!AO91,"AAAAAB9X9/A=")</f>
        <v>#VALUE!</v>
      </c>
      <c r="IH18" t="e">
        <f>AND('WJP Rule of Law Index 2012-2013'!AP91,"AAAAAB9X9/E=")</f>
        <v>#VALUE!</v>
      </c>
      <c r="II18" t="e">
        <f>AND('WJP Rule of Law Index 2012-2013'!AQ91,"AAAAAB9X9/I=")</f>
        <v>#VALUE!</v>
      </c>
      <c r="IJ18" t="e">
        <f>AND('WJP Rule of Law Index 2012-2013'!AR91,"AAAAAB9X9/M=")</f>
        <v>#VALUE!</v>
      </c>
      <c r="IK18" t="e">
        <f>AND('WJP Rule of Law Index 2012-2013'!AS91,"AAAAAB9X9/Q=")</f>
        <v>#VALUE!</v>
      </c>
      <c r="IL18" t="e">
        <f>AND('WJP Rule of Law Index 2012-2013'!AT91,"AAAAAB9X9/U=")</f>
        <v>#VALUE!</v>
      </c>
      <c r="IM18">
        <f>IF('WJP Rule of Law Index 2012-2013'!92:92,"AAAAAB9X9/Y=",0)</f>
        <v>0</v>
      </c>
      <c r="IN18" t="e">
        <f>AND('WJP Rule of Law Index 2012-2013'!A92,"AAAAAB9X9/c=")</f>
        <v>#VALUE!</v>
      </c>
      <c r="IO18" t="e">
        <f>AND('WJP Rule of Law Index 2012-2013'!B92,"AAAAAB9X9/g=")</f>
        <v>#VALUE!</v>
      </c>
      <c r="IP18" t="e">
        <f>AND('WJP Rule of Law Index 2012-2013'!#REF!,"AAAAAB9X9/k=")</f>
        <v>#REF!</v>
      </c>
      <c r="IQ18" t="e">
        <f>AND('WJP Rule of Law Index 2012-2013'!C92,"AAAAAB9X9/o=")</f>
        <v>#VALUE!</v>
      </c>
      <c r="IR18" t="e">
        <f>AND('WJP Rule of Law Index 2012-2013'!#REF!,"AAAAAB9X9/s=")</f>
        <v>#REF!</v>
      </c>
      <c r="IS18" t="e">
        <f>AND('WJP Rule of Law Index 2012-2013'!D92,"AAAAAB9X9/w=")</f>
        <v>#VALUE!</v>
      </c>
      <c r="IT18" t="e">
        <f>AND('WJP Rule of Law Index 2012-2013'!E92,"AAAAAB9X9/0=")</f>
        <v>#VALUE!</v>
      </c>
      <c r="IU18" t="e">
        <f>AND('WJP Rule of Law Index 2012-2013'!F92,"AAAAAB9X9/4=")</f>
        <v>#VALUE!</v>
      </c>
      <c r="IV18" t="e">
        <f>AND('WJP Rule of Law Index 2012-2013'!G92,"AAAAAB9X9/8=")</f>
        <v>#VALUE!</v>
      </c>
    </row>
    <row r="19" spans="1:256" ht="15">
      <c r="A19" t="e">
        <f>AND('WJP Rule of Law Index 2012-2013'!H92,"AAAAAG0VzAA=")</f>
        <v>#VALUE!</v>
      </c>
      <c r="B19" t="e">
        <f>AND('WJP Rule of Law Index 2012-2013'!I92,"AAAAAG0VzAE=")</f>
        <v>#VALUE!</v>
      </c>
      <c r="C19" t="e">
        <f>AND('WJP Rule of Law Index 2012-2013'!J92,"AAAAAG0VzAI=")</f>
        <v>#VALUE!</v>
      </c>
      <c r="D19" t="e">
        <f>AND('WJP Rule of Law Index 2012-2013'!K92,"AAAAAG0VzAM=")</f>
        <v>#VALUE!</v>
      </c>
      <c r="E19" t="e">
        <f>AND('WJP Rule of Law Index 2012-2013'!#REF!,"AAAAAG0VzAQ=")</f>
        <v>#REF!</v>
      </c>
      <c r="F19" t="e">
        <f>AND('WJP Rule of Law Index 2012-2013'!#REF!,"AAAAAG0VzAU=")</f>
        <v>#REF!</v>
      </c>
      <c r="G19" t="e">
        <f>AND('WJP Rule of Law Index 2012-2013'!#REF!,"AAAAAG0VzAY=")</f>
        <v>#REF!</v>
      </c>
      <c r="H19" t="e">
        <f>AND('WJP Rule of Law Index 2012-2013'!P92,"AAAAAG0VzAc=")</f>
        <v>#VALUE!</v>
      </c>
      <c r="I19" t="e">
        <f>AND('WJP Rule of Law Index 2012-2013'!Q92,"AAAAAG0VzAg=")</f>
        <v>#VALUE!</v>
      </c>
      <c r="J19" t="e">
        <f>AND('WJP Rule of Law Index 2012-2013'!R92,"AAAAAG0VzAk=")</f>
        <v>#VALUE!</v>
      </c>
      <c r="K19" t="e">
        <f>AND('WJP Rule of Law Index 2012-2013'!S92,"AAAAAG0VzAo=")</f>
        <v>#VALUE!</v>
      </c>
      <c r="L19" t="e">
        <f>AND('WJP Rule of Law Index 2012-2013'!T92,"AAAAAG0VzAs=")</f>
        <v>#VALUE!</v>
      </c>
      <c r="M19" t="e">
        <f>AND('WJP Rule of Law Index 2012-2013'!U92,"AAAAAG0VzAw=")</f>
        <v>#VALUE!</v>
      </c>
      <c r="N19" t="e">
        <f>AND('WJP Rule of Law Index 2012-2013'!V92,"AAAAAG0VzA0=")</f>
        <v>#VALUE!</v>
      </c>
      <c r="O19" t="e">
        <f>AND('WJP Rule of Law Index 2012-2013'!W92,"AAAAAG0VzA4=")</f>
        <v>#VALUE!</v>
      </c>
      <c r="P19" t="e">
        <f>AND('WJP Rule of Law Index 2012-2013'!X92,"AAAAAG0VzA8=")</f>
        <v>#VALUE!</v>
      </c>
      <c r="Q19" t="e">
        <f>AND('WJP Rule of Law Index 2012-2013'!Y92,"AAAAAG0VzBA=")</f>
        <v>#VALUE!</v>
      </c>
      <c r="R19" t="e">
        <f>AND('WJP Rule of Law Index 2012-2013'!Z92,"AAAAAG0VzBE=")</f>
        <v>#VALUE!</v>
      </c>
      <c r="S19" t="e">
        <f>AND('WJP Rule of Law Index 2012-2013'!AA92,"AAAAAG0VzBI=")</f>
        <v>#VALUE!</v>
      </c>
      <c r="T19" t="e">
        <f>AND('WJP Rule of Law Index 2012-2013'!AB92,"AAAAAG0VzBM=")</f>
        <v>#VALUE!</v>
      </c>
      <c r="U19" t="e">
        <f>AND('WJP Rule of Law Index 2012-2013'!AC92,"AAAAAG0VzBQ=")</f>
        <v>#VALUE!</v>
      </c>
      <c r="V19" t="e">
        <f>AND('WJP Rule of Law Index 2012-2013'!AD92,"AAAAAG0VzBU=")</f>
        <v>#VALUE!</v>
      </c>
      <c r="W19" t="e">
        <f>AND('WJP Rule of Law Index 2012-2013'!AE92,"AAAAAG0VzBY=")</f>
        <v>#VALUE!</v>
      </c>
      <c r="X19" t="e">
        <f>AND('WJP Rule of Law Index 2012-2013'!AF92,"AAAAAG0VzBc=")</f>
        <v>#VALUE!</v>
      </c>
      <c r="Y19" t="e">
        <f>AND('WJP Rule of Law Index 2012-2013'!AG92,"AAAAAG0VzBg=")</f>
        <v>#VALUE!</v>
      </c>
      <c r="Z19" t="e">
        <f>AND('WJP Rule of Law Index 2012-2013'!#REF!,"AAAAAG0VzBk=")</f>
        <v>#REF!</v>
      </c>
      <c r="AA19" t="e">
        <f>AND('WJP Rule of Law Index 2012-2013'!#REF!,"AAAAAG0VzBo=")</f>
        <v>#REF!</v>
      </c>
      <c r="AB19" t="e">
        <f>AND('WJP Rule of Law Index 2012-2013'!AH92,"AAAAAG0VzBs=")</f>
        <v>#VALUE!</v>
      </c>
      <c r="AC19" t="e">
        <f>AND('WJP Rule of Law Index 2012-2013'!AI92,"AAAAAG0VzBw=")</f>
        <v>#VALUE!</v>
      </c>
      <c r="AD19" t="e">
        <f>AND('WJP Rule of Law Index 2012-2013'!AJ92,"AAAAAG0VzB0=")</f>
        <v>#VALUE!</v>
      </c>
      <c r="AE19" t="e">
        <f>AND('WJP Rule of Law Index 2012-2013'!AK92,"AAAAAG0VzB4=")</f>
        <v>#VALUE!</v>
      </c>
      <c r="AF19" t="e">
        <f>AND('WJP Rule of Law Index 2012-2013'!AL92,"AAAAAG0VzB8=")</f>
        <v>#VALUE!</v>
      </c>
      <c r="AG19" t="e">
        <f>AND('WJP Rule of Law Index 2012-2013'!AM92,"AAAAAG0VzCA=")</f>
        <v>#VALUE!</v>
      </c>
      <c r="AH19" t="e">
        <f>AND('WJP Rule of Law Index 2012-2013'!AN92,"AAAAAG0VzCE=")</f>
        <v>#VALUE!</v>
      </c>
      <c r="AI19" t="e">
        <f>AND('WJP Rule of Law Index 2012-2013'!AO92,"AAAAAG0VzCI=")</f>
        <v>#VALUE!</v>
      </c>
      <c r="AJ19" t="e">
        <f>AND('WJP Rule of Law Index 2012-2013'!AP92,"AAAAAG0VzCM=")</f>
        <v>#VALUE!</v>
      </c>
      <c r="AK19" t="e">
        <f>AND('WJP Rule of Law Index 2012-2013'!AQ92,"AAAAAG0VzCQ=")</f>
        <v>#VALUE!</v>
      </c>
      <c r="AL19" t="e">
        <f>AND('WJP Rule of Law Index 2012-2013'!AR92,"AAAAAG0VzCU=")</f>
        <v>#VALUE!</v>
      </c>
      <c r="AM19" t="e">
        <f>AND('WJP Rule of Law Index 2012-2013'!AS92,"AAAAAG0VzCY=")</f>
        <v>#VALUE!</v>
      </c>
      <c r="AN19" t="e">
        <f>AND('WJP Rule of Law Index 2012-2013'!AT92,"AAAAAG0VzCc=")</f>
        <v>#VALUE!</v>
      </c>
      <c r="AO19" t="str">
        <f>IF('WJP Rule of Law Index 2012-2013'!93:93,"AAAAAG0VzCg=",0)</f>
        <v>AAAAAG0VzCg=</v>
      </c>
      <c r="AP19" t="e">
        <f>AND('WJP Rule of Law Index 2012-2013'!A93,"AAAAAG0VzCk=")</f>
        <v>#VALUE!</v>
      </c>
      <c r="AQ19" t="e">
        <f>AND('WJP Rule of Law Index 2012-2013'!B93,"AAAAAG0VzCo=")</f>
        <v>#VALUE!</v>
      </c>
      <c r="AR19" t="e">
        <f>AND('WJP Rule of Law Index 2012-2013'!#REF!,"AAAAAG0VzCs=")</f>
        <v>#REF!</v>
      </c>
      <c r="AS19" t="e">
        <f>AND('WJP Rule of Law Index 2012-2013'!C93,"AAAAAG0VzCw=")</f>
        <v>#VALUE!</v>
      </c>
      <c r="AT19" t="e">
        <f>AND('WJP Rule of Law Index 2012-2013'!#REF!,"AAAAAG0VzC0=")</f>
        <v>#REF!</v>
      </c>
      <c r="AU19" t="e">
        <f>AND('WJP Rule of Law Index 2012-2013'!D93,"AAAAAG0VzC4=")</f>
        <v>#VALUE!</v>
      </c>
      <c r="AV19" t="e">
        <f>AND('WJP Rule of Law Index 2012-2013'!E93,"AAAAAG0VzC8=")</f>
        <v>#VALUE!</v>
      </c>
      <c r="AW19" t="e">
        <f>AND('WJP Rule of Law Index 2012-2013'!F93,"AAAAAG0VzDA=")</f>
        <v>#VALUE!</v>
      </c>
      <c r="AX19" t="e">
        <f>AND('WJP Rule of Law Index 2012-2013'!G93,"AAAAAG0VzDE=")</f>
        <v>#VALUE!</v>
      </c>
      <c r="AY19" t="e">
        <f>AND('WJP Rule of Law Index 2012-2013'!H93,"AAAAAG0VzDI=")</f>
        <v>#VALUE!</v>
      </c>
      <c r="AZ19" t="e">
        <f>AND('WJP Rule of Law Index 2012-2013'!I93,"AAAAAG0VzDM=")</f>
        <v>#VALUE!</v>
      </c>
      <c r="BA19" t="e">
        <f>AND('WJP Rule of Law Index 2012-2013'!J93,"AAAAAG0VzDQ=")</f>
        <v>#VALUE!</v>
      </c>
      <c r="BB19" t="e">
        <f>AND('WJP Rule of Law Index 2012-2013'!K93,"AAAAAG0VzDU=")</f>
        <v>#VALUE!</v>
      </c>
      <c r="BC19" t="e">
        <f>AND('WJP Rule of Law Index 2012-2013'!#REF!,"AAAAAG0VzDY=")</f>
        <v>#REF!</v>
      </c>
      <c r="BD19" t="e">
        <f>AND('WJP Rule of Law Index 2012-2013'!#REF!,"AAAAAG0VzDc=")</f>
        <v>#REF!</v>
      </c>
      <c r="BE19" t="e">
        <f>AND('WJP Rule of Law Index 2012-2013'!#REF!,"AAAAAG0VzDg=")</f>
        <v>#REF!</v>
      </c>
      <c r="BF19" t="e">
        <f>AND('WJP Rule of Law Index 2012-2013'!P93,"AAAAAG0VzDk=")</f>
        <v>#VALUE!</v>
      </c>
      <c r="BG19" t="e">
        <f>AND('WJP Rule of Law Index 2012-2013'!Q93,"AAAAAG0VzDo=")</f>
        <v>#VALUE!</v>
      </c>
      <c r="BH19" t="e">
        <f>AND('WJP Rule of Law Index 2012-2013'!R93,"AAAAAG0VzDs=")</f>
        <v>#VALUE!</v>
      </c>
      <c r="BI19" t="e">
        <f>AND('WJP Rule of Law Index 2012-2013'!S93,"AAAAAG0VzDw=")</f>
        <v>#VALUE!</v>
      </c>
      <c r="BJ19" t="e">
        <f>AND('WJP Rule of Law Index 2012-2013'!T93,"AAAAAG0VzD0=")</f>
        <v>#VALUE!</v>
      </c>
      <c r="BK19" t="e">
        <f>AND('WJP Rule of Law Index 2012-2013'!U93,"AAAAAG0VzD4=")</f>
        <v>#VALUE!</v>
      </c>
      <c r="BL19" t="e">
        <f>AND('WJP Rule of Law Index 2012-2013'!V93,"AAAAAG0VzD8=")</f>
        <v>#VALUE!</v>
      </c>
      <c r="BM19" t="e">
        <f>AND('WJP Rule of Law Index 2012-2013'!W93,"AAAAAG0VzEA=")</f>
        <v>#VALUE!</v>
      </c>
      <c r="BN19" t="e">
        <f>AND('WJP Rule of Law Index 2012-2013'!X93,"AAAAAG0VzEE=")</f>
        <v>#VALUE!</v>
      </c>
      <c r="BO19" t="e">
        <f>AND('WJP Rule of Law Index 2012-2013'!Y93,"AAAAAG0VzEI=")</f>
        <v>#VALUE!</v>
      </c>
      <c r="BP19" t="e">
        <f>AND('WJP Rule of Law Index 2012-2013'!Z93,"AAAAAG0VzEM=")</f>
        <v>#VALUE!</v>
      </c>
      <c r="BQ19" t="e">
        <f>AND('WJP Rule of Law Index 2012-2013'!AA93,"AAAAAG0VzEQ=")</f>
        <v>#VALUE!</v>
      </c>
      <c r="BR19" t="e">
        <f>AND('WJP Rule of Law Index 2012-2013'!AB93,"AAAAAG0VzEU=")</f>
        <v>#VALUE!</v>
      </c>
      <c r="BS19" t="e">
        <f>AND('WJP Rule of Law Index 2012-2013'!AC93,"AAAAAG0VzEY=")</f>
        <v>#VALUE!</v>
      </c>
      <c r="BT19" t="e">
        <f>AND('WJP Rule of Law Index 2012-2013'!AD93,"AAAAAG0VzEc=")</f>
        <v>#VALUE!</v>
      </c>
      <c r="BU19" t="e">
        <f>AND('WJP Rule of Law Index 2012-2013'!AE93,"AAAAAG0VzEg=")</f>
        <v>#VALUE!</v>
      </c>
      <c r="BV19" t="e">
        <f>AND('WJP Rule of Law Index 2012-2013'!AF93,"AAAAAG0VzEk=")</f>
        <v>#VALUE!</v>
      </c>
      <c r="BW19" t="e">
        <f>AND('WJP Rule of Law Index 2012-2013'!AG93,"AAAAAG0VzEo=")</f>
        <v>#VALUE!</v>
      </c>
      <c r="BX19" t="e">
        <f>AND('WJP Rule of Law Index 2012-2013'!#REF!,"AAAAAG0VzEs=")</f>
        <v>#REF!</v>
      </c>
      <c r="BY19" t="e">
        <f>AND('WJP Rule of Law Index 2012-2013'!#REF!,"AAAAAG0VzEw=")</f>
        <v>#REF!</v>
      </c>
      <c r="BZ19" t="e">
        <f>AND('WJP Rule of Law Index 2012-2013'!AH93,"AAAAAG0VzE0=")</f>
        <v>#VALUE!</v>
      </c>
      <c r="CA19" t="e">
        <f>AND('WJP Rule of Law Index 2012-2013'!AI93,"AAAAAG0VzE4=")</f>
        <v>#VALUE!</v>
      </c>
      <c r="CB19" t="e">
        <f>AND('WJP Rule of Law Index 2012-2013'!AJ93,"AAAAAG0VzE8=")</f>
        <v>#VALUE!</v>
      </c>
      <c r="CC19" t="e">
        <f>AND('WJP Rule of Law Index 2012-2013'!AK93,"AAAAAG0VzFA=")</f>
        <v>#VALUE!</v>
      </c>
      <c r="CD19" t="e">
        <f>AND('WJP Rule of Law Index 2012-2013'!AL93,"AAAAAG0VzFE=")</f>
        <v>#VALUE!</v>
      </c>
      <c r="CE19" t="e">
        <f>AND('WJP Rule of Law Index 2012-2013'!AM93,"AAAAAG0VzFI=")</f>
        <v>#VALUE!</v>
      </c>
      <c r="CF19" t="e">
        <f>AND('WJP Rule of Law Index 2012-2013'!AN93,"AAAAAG0VzFM=")</f>
        <v>#VALUE!</v>
      </c>
      <c r="CG19" t="e">
        <f>AND('WJP Rule of Law Index 2012-2013'!AO93,"AAAAAG0VzFQ=")</f>
        <v>#VALUE!</v>
      </c>
      <c r="CH19" t="e">
        <f>AND('WJP Rule of Law Index 2012-2013'!AP93,"AAAAAG0VzFU=")</f>
        <v>#VALUE!</v>
      </c>
      <c r="CI19" t="e">
        <f>AND('WJP Rule of Law Index 2012-2013'!AQ93,"AAAAAG0VzFY=")</f>
        <v>#VALUE!</v>
      </c>
      <c r="CJ19" t="e">
        <f>AND('WJP Rule of Law Index 2012-2013'!AR93,"AAAAAG0VzFc=")</f>
        <v>#VALUE!</v>
      </c>
      <c r="CK19" t="e">
        <f>AND('WJP Rule of Law Index 2012-2013'!AS93,"AAAAAG0VzFg=")</f>
        <v>#VALUE!</v>
      </c>
      <c r="CL19" t="e">
        <f>AND('WJP Rule of Law Index 2012-2013'!AT93,"AAAAAG0VzFk=")</f>
        <v>#VALUE!</v>
      </c>
      <c r="CM19">
        <f>IF('WJP Rule of Law Index 2012-2013'!94:94,"AAAAAG0VzFo=",0)</f>
        <v>0</v>
      </c>
      <c r="CN19" t="e">
        <f>AND('WJP Rule of Law Index 2012-2013'!A94,"AAAAAG0VzFs=")</f>
        <v>#VALUE!</v>
      </c>
      <c r="CO19" t="e">
        <f>AND('WJP Rule of Law Index 2012-2013'!B94,"AAAAAG0VzFw=")</f>
        <v>#VALUE!</v>
      </c>
      <c r="CP19" t="e">
        <f>AND('WJP Rule of Law Index 2012-2013'!#REF!,"AAAAAG0VzF0=")</f>
        <v>#REF!</v>
      </c>
      <c r="CQ19" t="e">
        <f>AND('WJP Rule of Law Index 2012-2013'!C94,"AAAAAG0VzF4=")</f>
        <v>#VALUE!</v>
      </c>
      <c r="CR19" t="e">
        <f>AND('WJP Rule of Law Index 2012-2013'!#REF!,"AAAAAG0VzF8=")</f>
        <v>#REF!</v>
      </c>
      <c r="CS19" t="e">
        <f>AND('WJP Rule of Law Index 2012-2013'!D94,"AAAAAG0VzGA=")</f>
        <v>#VALUE!</v>
      </c>
      <c r="CT19" t="e">
        <f>AND('WJP Rule of Law Index 2012-2013'!E94,"AAAAAG0VzGE=")</f>
        <v>#VALUE!</v>
      </c>
      <c r="CU19" t="e">
        <f>AND('WJP Rule of Law Index 2012-2013'!F94,"AAAAAG0VzGI=")</f>
        <v>#VALUE!</v>
      </c>
      <c r="CV19" t="e">
        <f>AND('WJP Rule of Law Index 2012-2013'!G94,"AAAAAG0VzGM=")</f>
        <v>#VALUE!</v>
      </c>
      <c r="CW19" t="e">
        <f>AND('WJP Rule of Law Index 2012-2013'!H94,"AAAAAG0VzGQ=")</f>
        <v>#VALUE!</v>
      </c>
      <c r="CX19" t="e">
        <f>AND('WJP Rule of Law Index 2012-2013'!I94,"AAAAAG0VzGU=")</f>
        <v>#VALUE!</v>
      </c>
      <c r="CY19" t="e">
        <f>AND('WJP Rule of Law Index 2012-2013'!J94,"AAAAAG0VzGY=")</f>
        <v>#VALUE!</v>
      </c>
      <c r="CZ19" t="e">
        <f>AND('WJP Rule of Law Index 2012-2013'!K94,"AAAAAG0VzGc=")</f>
        <v>#VALUE!</v>
      </c>
      <c r="DA19" t="e">
        <f>AND('WJP Rule of Law Index 2012-2013'!#REF!,"AAAAAG0VzGg=")</f>
        <v>#REF!</v>
      </c>
      <c r="DB19" t="e">
        <f>AND('WJP Rule of Law Index 2012-2013'!#REF!,"AAAAAG0VzGk=")</f>
        <v>#REF!</v>
      </c>
      <c r="DC19" t="e">
        <f>AND('WJP Rule of Law Index 2012-2013'!#REF!,"AAAAAG0VzGo=")</f>
        <v>#REF!</v>
      </c>
      <c r="DD19" t="e">
        <f>AND('WJP Rule of Law Index 2012-2013'!P94,"AAAAAG0VzGs=")</f>
        <v>#VALUE!</v>
      </c>
      <c r="DE19" t="e">
        <f>AND('WJP Rule of Law Index 2012-2013'!Q94,"AAAAAG0VzGw=")</f>
        <v>#VALUE!</v>
      </c>
      <c r="DF19" t="e">
        <f>AND('WJP Rule of Law Index 2012-2013'!R94,"AAAAAG0VzG0=")</f>
        <v>#VALUE!</v>
      </c>
      <c r="DG19" t="e">
        <f>AND('WJP Rule of Law Index 2012-2013'!S94,"AAAAAG0VzG4=")</f>
        <v>#VALUE!</v>
      </c>
      <c r="DH19" t="e">
        <f>AND('WJP Rule of Law Index 2012-2013'!T94,"AAAAAG0VzG8=")</f>
        <v>#VALUE!</v>
      </c>
      <c r="DI19" t="e">
        <f>AND('WJP Rule of Law Index 2012-2013'!U94,"AAAAAG0VzHA=")</f>
        <v>#VALUE!</v>
      </c>
      <c r="DJ19" t="e">
        <f>AND('WJP Rule of Law Index 2012-2013'!V94,"AAAAAG0VzHE=")</f>
        <v>#VALUE!</v>
      </c>
      <c r="DK19" t="e">
        <f>AND('WJP Rule of Law Index 2012-2013'!W94,"AAAAAG0VzHI=")</f>
        <v>#VALUE!</v>
      </c>
      <c r="DL19" t="e">
        <f>AND('WJP Rule of Law Index 2012-2013'!X94,"AAAAAG0VzHM=")</f>
        <v>#VALUE!</v>
      </c>
      <c r="DM19" t="e">
        <f>AND('WJP Rule of Law Index 2012-2013'!Y94,"AAAAAG0VzHQ=")</f>
        <v>#VALUE!</v>
      </c>
      <c r="DN19" t="e">
        <f>AND('WJP Rule of Law Index 2012-2013'!Z94,"AAAAAG0VzHU=")</f>
        <v>#VALUE!</v>
      </c>
      <c r="DO19" t="e">
        <f>AND('WJP Rule of Law Index 2012-2013'!AA94,"AAAAAG0VzHY=")</f>
        <v>#VALUE!</v>
      </c>
      <c r="DP19" t="e">
        <f>AND('WJP Rule of Law Index 2012-2013'!AB94,"AAAAAG0VzHc=")</f>
        <v>#VALUE!</v>
      </c>
      <c r="DQ19" t="e">
        <f>AND('WJP Rule of Law Index 2012-2013'!AC94,"AAAAAG0VzHg=")</f>
        <v>#VALUE!</v>
      </c>
      <c r="DR19" t="e">
        <f>AND('WJP Rule of Law Index 2012-2013'!AD94,"AAAAAG0VzHk=")</f>
        <v>#VALUE!</v>
      </c>
      <c r="DS19" t="e">
        <f>AND('WJP Rule of Law Index 2012-2013'!AE94,"AAAAAG0VzHo=")</f>
        <v>#VALUE!</v>
      </c>
      <c r="DT19" t="e">
        <f>AND('WJP Rule of Law Index 2012-2013'!AF94,"AAAAAG0VzHs=")</f>
        <v>#VALUE!</v>
      </c>
      <c r="DU19" t="e">
        <f>AND('WJP Rule of Law Index 2012-2013'!AG94,"AAAAAG0VzHw=")</f>
        <v>#VALUE!</v>
      </c>
      <c r="DV19" t="e">
        <f>AND('WJP Rule of Law Index 2012-2013'!#REF!,"AAAAAG0VzH0=")</f>
        <v>#REF!</v>
      </c>
      <c r="DW19" t="e">
        <f>AND('WJP Rule of Law Index 2012-2013'!#REF!,"AAAAAG0VzH4=")</f>
        <v>#REF!</v>
      </c>
      <c r="DX19" t="e">
        <f>AND('WJP Rule of Law Index 2012-2013'!AH94,"AAAAAG0VzH8=")</f>
        <v>#VALUE!</v>
      </c>
      <c r="DY19" t="e">
        <f>AND('WJP Rule of Law Index 2012-2013'!AI94,"AAAAAG0VzIA=")</f>
        <v>#VALUE!</v>
      </c>
      <c r="DZ19" t="e">
        <f>AND('WJP Rule of Law Index 2012-2013'!AJ94,"AAAAAG0VzIE=")</f>
        <v>#VALUE!</v>
      </c>
      <c r="EA19" t="e">
        <f>AND('WJP Rule of Law Index 2012-2013'!AK94,"AAAAAG0VzII=")</f>
        <v>#VALUE!</v>
      </c>
      <c r="EB19" t="e">
        <f>AND('WJP Rule of Law Index 2012-2013'!AL94,"AAAAAG0VzIM=")</f>
        <v>#VALUE!</v>
      </c>
      <c r="EC19" t="e">
        <f>AND('WJP Rule of Law Index 2012-2013'!AM94,"AAAAAG0VzIQ=")</f>
        <v>#VALUE!</v>
      </c>
      <c r="ED19" t="e">
        <f>AND('WJP Rule of Law Index 2012-2013'!AN94,"AAAAAG0VzIU=")</f>
        <v>#VALUE!</v>
      </c>
      <c r="EE19" t="e">
        <f>AND('WJP Rule of Law Index 2012-2013'!AO94,"AAAAAG0VzIY=")</f>
        <v>#VALUE!</v>
      </c>
      <c r="EF19" t="e">
        <f>AND('WJP Rule of Law Index 2012-2013'!AP94,"AAAAAG0VzIc=")</f>
        <v>#VALUE!</v>
      </c>
      <c r="EG19" t="e">
        <f>AND('WJP Rule of Law Index 2012-2013'!AQ94,"AAAAAG0VzIg=")</f>
        <v>#VALUE!</v>
      </c>
      <c r="EH19" t="e">
        <f>AND('WJP Rule of Law Index 2012-2013'!AR94,"AAAAAG0VzIk=")</f>
        <v>#VALUE!</v>
      </c>
      <c r="EI19" t="e">
        <f>AND('WJP Rule of Law Index 2012-2013'!AS94,"AAAAAG0VzIo=")</f>
        <v>#VALUE!</v>
      </c>
      <c r="EJ19" t="e">
        <f>AND('WJP Rule of Law Index 2012-2013'!AT94,"AAAAAG0VzIs=")</f>
        <v>#VALUE!</v>
      </c>
      <c r="EK19">
        <f>IF('WJP Rule of Law Index 2012-2013'!95:95,"AAAAAG0VzIw=",0)</f>
        <v>0</v>
      </c>
      <c r="EL19" t="e">
        <f>AND('WJP Rule of Law Index 2012-2013'!A95,"AAAAAG0VzI0=")</f>
        <v>#VALUE!</v>
      </c>
      <c r="EM19" t="e">
        <f>AND('WJP Rule of Law Index 2012-2013'!B95,"AAAAAG0VzI4=")</f>
        <v>#VALUE!</v>
      </c>
      <c r="EN19" t="e">
        <f>AND('WJP Rule of Law Index 2012-2013'!#REF!,"AAAAAG0VzI8=")</f>
        <v>#REF!</v>
      </c>
      <c r="EO19" t="e">
        <f>AND('WJP Rule of Law Index 2012-2013'!C95,"AAAAAG0VzJA=")</f>
        <v>#VALUE!</v>
      </c>
      <c r="EP19" t="e">
        <f>AND('WJP Rule of Law Index 2012-2013'!#REF!,"AAAAAG0VzJE=")</f>
        <v>#REF!</v>
      </c>
      <c r="EQ19" t="e">
        <f>AND('WJP Rule of Law Index 2012-2013'!D95,"AAAAAG0VzJI=")</f>
        <v>#VALUE!</v>
      </c>
      <c r="ER19" t="e">
        <f>AND('WJP Rule of Law Index 2012-2013'!E95,"AAAAAG0VzJM=")</f>
        <v>#VALUE!</v>
      </c>
      <c r="ES19" t="e">
        <f>AND('WJP Rule of Law Index 2012-2013'!F95,"AAAAAG0VzJQ=")</f>
        <v>#VALUE!</v>
      </c>
      <c r="ET19" t="e">
        <f>AND('WJP Rule of Law Index 2012-2013'!G95,"AAAAAG0VzJU=")</f>
        <v>#VALUE!</v>
      </c>
      <c r="EU19" t="e">
        <f>AND('WJP Rule of Law Index 2012-2013'!H95,"AAAAAG0VzJY=")</f>
        <v>#VALUE!</v>
      </c>
      <c r="EV19" t="e">
        <f>AND('WJP Rule of Law Index 2012-2013'!I95,"AAAAAG0VzJc=")</f>
        <v>#VALUE!</v>
      </c>
      <c r="EW19" t="e">
        <f>AND('WJP Rule of Law Index 2012-2013'!J95,"AAAAAG0VzJg=")</f>
        <v>#VALUE!</v>
      </c>
      <c r="EX19" t="e">
        <f>AND('WJP Rule of Law Index 2012-2013'!K95,"AAAAAG0VzJk=")</f>
        <v>#VALUE!</v>
      </c>
      <c r="EY19" t="e">
        <f>AND('WJP Rule of Law Index 2012-2013'!#REF!,"AAAAAG0VzJo=")</f>
        <v>#REF!</v>
      </c>
      <c r="EZ19" t="e">
        <f>AND('WJP Rule of Law Index 2012-2013'!#REF!,"AAAAAG0VzJs=")</f>
        <v>#REF!</v>
      </c>
      <c r="FA19" t="e">
        <f>AND('WJP Rule of Law Index 2012-2013'!#REF!,"AAAAAG0VzJw=")</f>
        <v>#REF!</v>
      </c>
      <c r="FB19" t="e">
        <f>AND('WJP Rule of Law Index 2012-2013'!P95,"AAAAAG0VzJ0=")</f>
        <v>#VALUE!</v>
      </c>
      <c r="FC19" t="e">
        <f>AND('WJP Rule of Law Index 2012-2013'!Q95,"AAAAAG0VzJ4=")</f>
        <v>#VALUE!</v>
      </c>
      <c r="FD19" t="e">
        <f>AND('WJP Rule of Law Index 2012-2013'!R95,"AAAAAG0VzJ8=")</f>
        <v>#VALUE!</v>
      </c>
      <c r="FE19" t="e">
        <f>AND('WJP Rule of Law Index 2012-2013'!S95,"AAAAAG0VzKA=")</f>
        <v>#VALUE!</v>
      </c>
      <c r="FF19" t="e">
        <f>AND('WJP Rule of Law Index 2012-2013'!T95,"AAAAAG0VzKE=")</f>
        <v>#VALUE!</v>
      </c>
      <c r="FG19" t="e">
        <f>AND('WJP Rule of Law Index 2012-2013'!U95,"AAAAAG0VzKI=")</f>
        <v>#VALUE!</v>
      </c>
      <c r="FH19" t="e">
        <f>AND('WJP Rule of Law Index 2012-2013'!V95,"AAAAAG0VzKM=")</f>
        <v>#VALUE!</v>
      </c>
      <c r="FI19" t="e">
        <f>AND('WJP Rule of Law Index 2012-2013'!W95,"AAAAAG0VzKQ=")</f>
        <v>#VALUE!</v>
      </c>
      <c r="FJ19" t="e">
        <f>AND('WJP Rule of Law Index 2012-2013'!X95,"AAAAAG0VzKU=")</f>
        <v>#VALUE!</v>
      </c>
      <c r="FK19" t="e">
        <f>AND('WJP Rule of Law Index 2012-2013'!Y95,"AAAAAG0VzKY=")</f>
        <v>#VALUE!</v>
      </c>
      <c r="FL19" t="e">
        <f>AND('WJP Rule of Law Index 2012-2013'!Z95,"AAAAAG0VzKc=")</f>
        <v>#VALUE!</v>
      </c>
      <c r="FM19" t="e">
        <f>AND('WJP Rule of Law Index 2012-2013'!AA95,"AAAAAG0VzKg=")</f>
        <v>#VALUE!</v>
      </c>
      <c r="FN19" t="e">
        <f>AND('WJP Rule of Law Index 2012-2013'!AB95,"AAAAAG0VzKk=")</f>
        <v>#VALUE!</v>
      </c>
      <c r="FO19" t="e">
        <f>AND('WJP Rule of Law Index 2012-2013'!AC95,"AAAAAG0VzKo=")</f>
        <v>#VALUE!</v>
      </c>
      <c r="FP19" t="e">
        <f>AND('WJP Rule of Law Index 2012-2013'!AD95,"AAAAAG0VzKs=")</f>
        <v>#VALUE!</v>
      </c>
      <c r="FQ19" t="e">
        <f>AND('WJP Rule of Law Index 2012-2013'!AE95,"AAAAAG0VzKw=")</f>
        <v>#VALUE!</v>
      </c>
      <c r="FR19" t="e">
        <f>AND('WJP Rule of Law Index 2012-2013'!AF95,"AAAAAG0VzK0=")</f>
        <v>#VALUE!</v>
      </c>
      <c r="FS19" t="e">
        <f>AND('WJP Rule of Law Index 2012-2013'!AG95,"AAAAAG0VzK4=")</f>
        <v>#VALUE!</v>
      </c>
      <c r="FT19" t="e">
        <f>AND('WJP Rule of Law Index 2012-2013'!#REF!,"AAAAAG0VzK8=")</f>
        <v>#REF!</v>
      </c>
      <c r="FU19" t="e">
        <f>AND('WJP Rule of Law Index 2012-2013'!#REF!,"AAAAAG0VzLA=")</f>
        <v>#REF!</v>
      </c>
      <c r="FV19" t="e">
        <f>AND('WJP Rule of Law Index 2012-2013'!AH95,"AAAAAG0VzLE=")</f>
        <v>#VALUE!</v>
      </c>
      <c r="FW19" t="e">
        <f>AND('WJP Rule of Law Index 2012-2013'!AI95,"AAAAAG0VzLI=")</f>
        <v>#VALUE!</v>
      </c>
      <c r="FX19" t="e">
        <f>AND('WJP Rule of Law Index 2012-2013'!AJ95,"AAAAAG0VzLM=")</f>
        <v>#VALUE!</v>
      </c>
      <c r="FY19" t="e">
        <f>AND('WJP Rule of Law Index 2012-2013'!AK95,"AAAAAG0VzLQ=")</f>
        <v>#VALUE!</v>
      </c>
      <c r="FZ19" t="e">
        <f>AND('WJP Rule of Law Index 2012-2013'!AL95,"AAAAAG0VzLU=")</f>
        <v>#VALUE!</v>
      </c>
      <c r="GA19" t="e">
        <f>AND('WJP Rule of Law Index 2012-2013'!AM95,"AAAAAG0VzLY=")</f>
        <v>#VALUE!</v>
      </c>
      <c r="GB19" t="e">
        <f>AND('WJP Rule of Law Index 2012-2013'!AN95,"AAAAAG0VzLc=")</f>
        <v>#VALUE!</v>
      </c>
      <c r="GC19" t="e">
        <f>AND('WJP Rule of Law Index 2012-2013'!AO95,"AAAAAG0VzLg=")</f>
        <v>#VALUE!</v>
      </c>
      <c r="GD19" t="e">
        <f>AND('WJP Rule of Law Index 2012-2013'!AP95,"AAAAAG0VzLk=")</f>
        <v>#VALUE!</v>
      </c>
      <c r="GE19" t="e">
        <f>AND('WJP Rule of Law Index 2012-2013'!AQ95,"AAAAAG0VzLo=")</f>
        <v>#VALUE!</v>
      </c>
      <c r="GF19" t="e">
        <f>AND('WJP Rule of Law Index 2012-2013'!AR95,"AAAAAG0VzLs=")</f>
        <v>#VALUE!</v>
      </c>
      <c r="GG19" t="e">
        <f>AND('WJP Rule of Law Index 2012-2013'!AS95,"AAAAAG0VzLw=")</f>
        <v>#VALUE!</v>
      </c>
      <c r="GH19" t="e">
        <f>AND('WJP Rule of Law Index 2012-2013'!AT95,"AAAAAG0VzL0=")</f>
        <v>#VALUE!</v>
      </c>
      <c r="GI19">
        <f>IF('WJP Rule of Law Index 2012-2013'!96:96,"AAAAAG0VzL4=",0)</f>
        <v>0</v>
      </c>
      <c r="GJ19" t="e">
        <f>AND('WJP Rule of Law Index 2012-2013'!A96,"AAAAAG0VzL8=")</f>
        <v>#VALUE!</v>
      </c>
      <c r="GK19" t="e">
        <f>AND('WJP Rule of Law Index 2012-2013'!B96,"AAAAAG0VzMA=")</f>
        <v>#VALUE!</v>
      </c>
      <c r="GL19" t="e">
        <f>AND('WJP Rule of Law Index 2012-2013'!#REF!,"AAAAAG0VzME=")</f>
        <v>#REF!</v>
      </c>
      <c r="GM19" t="e">
        <f>AND('WJP Rule of Law Index 2012-2013'!C96,"AAAAAG0VzMI=")</f>
        <v>#VALUE!</v>
      </c>
      <c r="GN19" t="e">
        <f>AND('WJP Rule of Law Index 2012-2013'!#REF!,"AAAAAG0VzMM=")</f>
        <v>#REF!</v>
      </c>
      <c r="GO19" t="e">
        <f>AND('WJP Rule of Law Index 2012-2013'!D96,"AAAAAG0VzMQ=")</f>
        <v>#VALUE!</v>
      </c>
      <c r="GP19" t="e">
        <f>AND('WJP Rule of Law Index 2012-2013'!E96,"AAAAAG0VzMU=")</f>
        <v>#VALUE!</v>
      </c>
      <c r="GQ19" t="e">
        <f>AND('WJP Rule of Law Index 2012-2013'!F96,"AAAAAG0VzMY=")</f>
        <v>#VALUE!</v>
      </c>
      <c r="GR19" t="e">
        <f>AND('WJP Rule of Law Index 2012-2013'!G96,"AAAAAG0VzMc=")</f>
        <v>#VALUE!</v>
      </c>
      <c r="GS19" t="e">
        <f>AND('WJP Rule of Law Index 2012-2013'!H96,"AAAAAG0VzMg=")</f>
        <v>#VALUE!</v>
      </c>
      <c r="GT19" t="e">
        <f>AND('WJP Rule of Law Index 2012-2013'!I96,"AAAAAG0VzMk=")</f>
        <v>#VALUE!</v>
      </c>
      <c r="GU19" t="e">
        <f>AND('WJP Rule of Law Index 2012-2013'!J96,"AAAAAG0VzMo=")</f>
        <v>#VALUE!</v>
      </c>
      <c r="GV19" t="e">
        <f>AND('WJP Rule of Law Index 2012-2013'!K96,"AAAAAG0VzMs=")</f>
        <v>#VALUE!</v>
      </c>
      <c r="GW19" t="e">
        <f>AND('WJP Rule of Law Index 2012-2013'!#REF!,"AAAAAG0VzMw=")</f>
        <v>#REF!</v>
      </c>
      <c r="GX19" t="e">
        <f>AND('WJP Rule of Law Index 2012-2013'!#REF!,"AAAAAG0VzM0=")</f>
        <v>#REF!</v>
      </c>
      <c r="GY19" t="e">
        <f>AND('WJP Rule of Law Index 2012-2013'!#REF!,"AAAAAG0VzM4=")</f>
        <v>#REF!</v>
      </c>
      <c r="GZ19" t="e">
        <f>AND('WJP Rule of Law Index 2012-2013'!P96,"AAAAAG0VzM8=")</f>
        <v>#VALUE!</v>
      </c>
      <c r="HA19" t="e">
        <f>AND('WJP Rule of Law Index 2012-2013'!Q96,"AAAAAG0VzNA=")</f>
        <v>#VALUE!</v>
      </c>
      <c r="HB19" t="e">
        <f>AND('WJP Rule of Law Index 2012-2013'!R96,"AAAAAG0VzNE=")</f>
        <v>#VALUE!</v>
      </c>
      <c r="HC19" t="e">
        <f>AND('WJP Rule of Law Index 2012-2013'!S96,"AAAAAG0VzNI=")</f>
        <v>#VALUE!</v>
      </c>
      <c r="HD19" t="e">
        <f>AND('WJP Rule of Law Index 2012-2013'!T96,"AAAAAG0VzNM=")</f>
        <v>#VALUE!</v>
      </c>
      <c r="HE19" t="e">
        <f>AND('WJP Rule of Law Index 2012-2013'!U96,"AAAAAG0VzNQ=")</f>
        <v>#VALUE!</v>
      </c>
      <c r="HF19" t="e">
        <f>AND('WJP Rule of Law Index 2012-2013'!V96,"AAAAAG0VzNU=")</f>
        <v>#VALUE!</v>
      </c>
      <c r="HG19" t="e">
        <f>AND('WJP Rule of Law Index 2012-2013'!W96,"AAAAAG0VzNY=")</f>
        <v>#VALUE!</v>
      </c>
      <c r="HH19" t="e">
        <f>AND('WJP Rule of Law Index 2012-2013'!X96,"AAAAAG0VzNc=")</f>
        <v>#VALUE!</v>
      </c>
      <c r="HI19" t="e">
        <f>AND('WJP Rule of Law Index 2012-2013'!Y96,"AAAAAG0VzNg=")</f>
        <v>#VALUE!</v>
      </c>
      <c r="HJ19" t="e">
        <f>AND('WJP Rule of Law Index 2012-2013'!Z96,"AAAAAG0VzNk=")</f>
        <v>#VALUE!</v>
      </c>
      <c r="HK19" t="e">
        <f>AND('WJP Rule of Law Index 2012-2013'!AA96,"AAAAAG0VzNo=")</f>
        <v>#VALUE!</v>
      </c>
      <c r="HL19" t="e">
        <f>AND('WJP Rule of Law Index 2012-2013'!AB96,"AAAAAG0VzNs=")</f>
        <v>#VALUE!</v>
      </c>
      <c r="HM19" t="e">
        <f>AND('WJP Rule of Law Index 2012-2013'!AC96,"AAAAAG0VzNw=")</f>
        <v>#VALUE!</v>
      </c>
      <c r="HN19" t="e">
        <f>AND('WJP Rule of Law Index 2012-2013'!AD96,"AAAAAG0VzN0=")</f>
        <v>#VALUE!</v>
      </c>
      <c r="HO19" t="e">
        <f>AND('WJP Rule of Law Index 2012-2013'!AE96,"AAAAAG0VzN4=")</f>
        <v>#VALUE!</v>
      </c>
      <c r="HP19" t="e">
        <f>AND('WJP Rule of Law Index 2012-2013'!AF96,"AAAAAG0VzN8=")</f>
        <v>#VALUE!</v>
      </c>
      <c r="HQ19" t="e">
        <f>AND('WJP Rule of Law Index 2012-2013'!AG96,"AAAAAG0VzOA=")</f>
        <v>#VALUE!</v>
      </c>
      <c r="HR19" t="e">
        <f>AND('WJP Rule of Law Index 2012-2013'!#REF!,"AAAAAG0VzOE=")</f>
        <v>#REF!</v>
      </c>
      <c r="HS19" t="e">
        <f>AND('WJP Rule of Law Index 2012-2013'!#REF!,"AAAAAG0VzOI=")</f>
        <v>#REF!</v>
      </c>
      <c r="HT19" t="e">
        <f>AND('WJP Rule of Law Index 2012-2013'!AH96,"AAAAAG0VzOM=")</f>
        <v>#VALUE!</v>
      </c>
      <c r="HU19" t="e">
        <f>AND('WJP Rule of Law Index 2012-2013'!AI96,"AAAAAG0VzOQ=")</f>
        <v>#VALUE!</v>
      </c>
      <c r="HV19" t="e">
        <f>AND('WJP Rule of Law Index 2012-2013'!AJ96,"AAAAAG0VzOU=")</f>
        <v>#VALUE!</v>
      </c>
      <c r="HW19" t="e">
        <f>AND('WJP Rule of Law Index 2012-2013'!AK96,"AAAAAG0VzOY=")</f>
        <v>#VALUE!</v>
      </c>
      <c r="HX19" t="e">
        <f>AND('WJP Rule of Law Index 2012-2013'!AL96,"AAAAAG0VzOc=")</f>
        <v>#VALUE!</v>
      </c>
      <c r="HY19" t="e">
        <f>AND('WJP Rule of Law Index 2012-2013'!AM96,"AAAAAG0VzOg=")</f>
        <v>#VALUE!</v>
      </c>
      <c r="HZ19" t="e">
        <f>AND('WJP Rule of Law Index 2012-2013'!AN96,"AAAAAG0VzOk=")</f>
        <v>#VALUE!</v>
      </c>
      <c r="IA19" t="e">
        <f>AND('WJP Rule of Law Index 2012-2013'!AO96,"AAAAAG0VzOo=")</f>
        <v>#VALUE!</v>
      </c>
      <c r="IB19" t="e">
        <f>AND('WJP Rule of Law Index 2012-2013'!AP96,"AAAAAG0VzOs=")</f>
        <v>#VALUE!</v>
      </c>
      <c r="IC19" t="e">
        <f>AND('WJP Rule of Law Index 2012-2013'!AQ96,"AAAAAG0VzOw=")</f>
        <v>#VALUE!</v>
      </c>
      <c r="ID19" t="e">
        <f>AND('WJP Rule of Law Index 2012-2013'!AR96,"AAAAAG0VzO0=")</f>
        <v>#VALUE!</v>
      </c>
      <c r="IE19" t="e">
        <f>AND('WJP Rule of Law Index 2012-2013'!AS96,"AAAAAG0VzO4=")</f>
        <v>#VALUE!</v>
      </c>
      <c r="IF19" t="e">
        <f>AND('WJP Rule of Law Index 2012-2013'!AT96,"AAAAAG0VzO8=")</f>
        <v>#VALUE!</v>
      </c>
      <c r="IG19">
        <f>IF('WJP Rule of Law Index 2012-2013'!97:97,"AAAAAG0VzPA=",0)</f>
        <v>0</v>
      </c>
      <c r="IH19" t="e">
        <f>AND('WJP Rule of Law Index 2012-2013'!A97,"AAAAAG0VzPE=")</f>
        <v>#VALUE!</v>
      </c>
      <c r="II19" t="e">
        <f>AND('WJP Rule of Law Index 2012-2013'!B97,"AAAAAG0VzPI=")</f>
        <v>#VALUE!</v>
      </c>
      <c r="IJ19" t="e">
        <f>AND('WJP Rule of Law Index 2012-2013'!#REF!,"AAAAAG0VzPM=")</f>
        <v>#REF!</v>
      </c>
      <c r="IK19" t="e">
        <f>AND('WJP Rule of Law Index 2012-2013'!C97,"AAAAAG0VzPQ=")</f>
        <v>#VALUE!</v>
      </c>
      <c r="IL19" t="e">
        <f>AND('WJP Rule of Law Index 2012-2013'!#REF!,"AAAAAG0VzPU=")</f>
        <v>#REF!</v>
      </c>
      <c r="IM19" t="e">
        <f>AND('WJP Rule of Law Index 2012-2013'!D97,"AAAAAG0VzPY=")</f>
        <v>#VALUE!</v>
      </c>
      <c r="IN19" t="e">
        <f>AND('WJP Rule of Law Index 2012-2013'!E97,"AAAAAG0VzPc=")</f>
        <v>#VALUE!</v>
      </c>
      <c r="IO19" t="e">
        <f>AND('WJP Rule of Law Index 2012-2013'!F97,"AAAAAG0VzPg=")</f>
        <v>#VALUE!</v>
      </c>
      <c r="IP19" t="e">
        <f>AND('WJP Rule of Law Index 2012-2013'!G97,"AAAAAG0VzPk=")</f>
        <v>#VALUE!</v>
      </c>
      <c r="IQ19" t="e">
        <f>AND('WJP Rule of Law Index 2012-2013'!H97,"AAAAAG0VzPo=")</f>
        <v>#VALUE!</v>
      </c>
      <c r="IR19" t="e">
        <f>AND('WJP Rule of Law Index 2012-2013'!I97,"AAAAAG0VzPs=")</f>
        <v>#VALUE!</v>
      </c>
      <c r="IS19" t="e">
        <f>AND('WJP Rule of Law Index 2012-2013'!J97,"AAAAAG0VzPw=")</f>
        <v>#VALUE!</v>
      </c>
      <c r="IT19" t="e">
        <f>AND('WJP Rule of Law Index 2012-2013'!K97,"AAAAAG0VzP0=")</f>
        <v>#VALUE!</v>
      </c>
      <c r="IU19" t="e">
        <f>AND('WJP Rule of Law Index 2012-2013'!#REF!,"AAAAAG0VzP4=")</f>
        <v>#REF!</v>
      </c>
      <c r="IV19" t="e">
        <f>AND('WJP Rule of Law Index 2012-2013'!#REF!,"AAAAAG0VzP8=")</f>
        <v>#REF!</v>
      </c>
    </row>
    <row r="20" spans="1:256" ht="15">
      <c r="A20" t="e">
        <f>AND('WJP Rule of Law Index 2012-2013'!#REF!,"AAAAAHv97gA=")</f>
        <v>#REF!</v>
      </c>
      <c r="B20" t="e">
        <f>AND('WJP Rule of Law Index 2012-2013'!P97,"AAAAAHv97gE=")</f>
        <v>#VALUE!</v>
      </c>
      <c r="C20" t="e">
        <f>AND('WJP Rule of Law Index 2012-2013'!Q97,"AAAAAHv97gI=")</f>
        <v>#VALUE!</v>
      </c>
      <c r="D20" t="e">
        <f>AND('WJP Rule of Law Index 2012-2013'!R97,"AAAAAHv97gM=")</f>
        <v>#VALUE!</v>
      </c>
      <c r="E20" t="e">
        <f>AND('WJP Rule of Law Index 2012-2013'!S97,"AAAAAHv97gQ=")</f>
        <v>#VALUE!</v>
      </c>
      <c r="F20" t="e">
        <f>AND('WJP Rule of Law Index 2012-2013'!T97,"AAAAAHv97gU=")</f>
        <v>#VALUE!</v>
      </c>
      <c r="G20" t="e">
        <f>AND('WJP Rule of Law Index 2012-2013'!U97,"AAAAAHv97gY=")</f>
        <v>#VALUE!</v>
      </c>
      <c r="H20" t="e">
        <f>AND('WJP Rule of Law Index 2012-2013'!V97,"AAAAAHv97gc=")</f>
        <v>#VALUE!</v>
      </c>
      <c r="I20" t="e">
        <f>AND('WJP Rule of Law Index 2012-2013'!W97,"AAAAAHv97gg=")</f>
        <v>#VALUE!</v>
      </c>
      <c r="J20" t="e">
        <f>AND('WJP Rule of Law Index 2012-2013'!X97,"AAAAAHv97gk=")</f>
        <v>#VALUE!</v>
      </c>
      <c r="K20" t="e">
        <f>AND('WJP Rule of Law Index 2012-2013'!Y97,"AAAAAHv97go=")</f>
        <v>#VALUE!</v>
      </c>
      <c r="L20" t="e">
        <f>AND('WJP Rule of Law Index 2012-2013'!Z97,"AAAAAHv97gs=")</f>
        <v>#VALUE!</v>
      </c>
      <c r="M20" t="e">
        <f>AND('WJP Rule of Law Index 2012-2013'!AA97,"AAAAAHv97gw=")</f>
        <v>#VALUE!</v>
      </c>
      <c r="N20" t="e">
        <f>AND('WJP Rule of Law Index 2012-2013'!AB97,"AAAAAHv97g0=")</f>
        <v>#VALUE!</v>
      </c>
      <c r="O20" t="e">
        <f>AND('WJP Rule of Law Index 2012-2013'!AC97,"AAAAAHv97g4=")</f>
        <v>#VALUE!</v>
      </c>
      <c r="P20" t="e">
        <f>AND('WJP Rule of Law Index 2012-2013'!AD97,"AAAAAHv97g8=")</f>
        <v>#VALUE!</v>
      </c>
      <c r="Q20" t="e">
        <f>AND('WJP Rule of Law Index 2012-2013'!AE97,"AAAAAHv97hA=")</f>
        <v>#VALUE!</v>
      </c>
      <c r="R20" t="e">
        <f>AND('WJP Rule of Law Index 2012-2013'!AF97,"AAAAAHv97hE=")</f>
        <v>#VALUE!</v>
      </c>
      <c r="S20" t="e">
        <f>AND('WJP Rule of Law Index 2012-2013'!AG97,"AAAAAHv97hI=")</f>
        <v>#VALUE!</v>
      </c>
      <c r="T20" t="e">
        <f>AND('WJP Rule of Law Index 2012-2013'!#REF!,"AAAAAHv97hM=")</f>
        <v>#REF!</v>
      </c>
      <c r="U20" t="e">
        <f>AND('WJP Rule of Law Index 2012-2013'!#REF!,"AAAAAHv97hQ=")</f>
        <v>#REF!</v>
      </c>
      <c r="V20" t="e">
        <f>AND('WJP Rule of Law Index 2012-2013'!AH97,"AAAAAHv97hU=")</f>
        <v>#VALUE!</v>
      </c>
      <c r="W20" t="e">
        <f>AND('WJP Rule of Law Index 2012-2013'!AI97,"AAAAAHv97hY=")</f>
        <v>#VALUE!</v>
      </c>
      <c r="X20" t="e">
        <f>AND('WJP Rule of Law Index 2012-2013'!AJ97,"AAAAAHv97hc=")</f>
        <v>#VALUE!</v>
      </c>
      <c r="Y20" t="e">
        <f>AND('WJP Rule of Law Index 2012-2013'!AK97,"AAAAAHv97hg=")</f>
        <v>#VALUE!</v>
      </c>
      <c r="Z20" t="e">
        <f>AND('WJP Rule of Law Index 2012-2013'!AL97,"AAAAAHv97hk=")</f>
        <v>#VALUE!</v>
      </c>
      <c r="AA20" t="e">
        <f>AND('WJP Rule of Law Index 2012-2013'!AM97,"AAAAAHv97ho=")</f>
        <v>#VALUE!</v>
      </c>
      <c r="AB20" t="e">
        <f>AND('WJP Rule of Law Index 2012-2013'!AN97,"AAAAAHv97hs=")</f>
        <v>#VALUE!</v>
      </c>
      <c r="AC20" t="e">
        <f>AND('WJP Rule of Law Index 2012-2013'!AO97,"AAAAAHv97hw=")</f>
        <v>#VALUE!</v>
      </c>
      <c r="AD20" t="e">
        <f>AND('WJP Rule of Law Index 2012-2013'!AP97,"AAAAAHv97h0=")</f>
        <v>#VALUE!</v>
      </c>
      <c r="AE20" t="e">
        <f>AND('WJP Rule of Law Index 2012-2013'!AQ97,"AAAAAHv97h4=")</f>
        <v>#VALUE!</v>
      </c>
      <c r="AF20" t="e">
        <f>AND('WJP Rule of Law Index 2012-2013'!AR97,"AAAAAHv97h8=")</f>
        <v>#VALUE!</v>
      </c>
      <c r="AG20" t="e">
        <f>AND('WJP Rule of Law Index 2012-2013'!AS97,"AAAAAHv97iA=")</f>
        <v>#VALUE!</v>
      </c>
      <c r="AH20" t="e">
        <f>AND('WJP Rule of Law Index 2012-2013'!AT97,"AAAAAHv97iE=")</f>
        <v>#VALUE!</v>
      </c>
      <c r="AI20" t="str">
        <f>IF('WJP Rule of Law Index 2012-2013'!98:98,"AAAAAHv97iI=",0)</f>
        <v>AAAAAHv97iI=</v>
      </c>
      <c r="AJ20" t="e">
        <f>AND('WJP Rule of Law Index 2012-2013'!A98,"AAAAAHv97iM=")</f>
        <v>#VALUE!</v>
      </c>
      <c r="AK20" t="e">
        <f>AND('WJP Rule of Law Index 2012-2013'!B98,"AAAAAHv97iQ=")</f>
        <v>#VALUE!</v>
      </c>
      <c r="AL20" t="e">
        <f>AND('WJP Rule of Law Index 2012-2013'!#REF!,"AAAAAHv97iU=")</f>
        <v>#REF!</v>
      </c>
      <c r="AM20" t="e">
        <f>AND('WJP Rule of Law Index 2012-2013'!C98,"AAAAAHv97iY=")</f>
        <v>#VALUE!</v>
      </c>
      <c r="AN20" t="e">
        <f>AND('WJP Rule of Law Index 2012-2013'!#REF!,"AAAAAHv97ic=")</f>
        <v>#REF!</v>
      </c>
      <c r="AO20" t="e">
        <f>AND('WJP Rule of Law Index 2012-2013'!D98,"AAAAAHv97ig=")</f>
        <v>#VALUE!</v>
      </c>
      <c r="AP20" t="e">
        <f>AND('WJP Rule of Law Index 2012-2013'!E98,"AAAAAHv97ik=")</f>
        <v>#VALUE!</v>
      </c>
      <c r="AQ20" t="e">
        <f>AND('WJP Rule of Law Index 2012-2013'!F98,"AAAAAHv97io=")</f>
        <v>#VALUE!</v>
      </c>
      <c r="AR20" t="e">
        <f>AND('WJP Rule of Law Index 2012-2013'!G98,"AAAAAHv97is=")</f>
        <v>#VALUE!</v>
      </c>
      <c r="AS20" t="e">
        <f>AND('WJP Rule of Law Index 2012-2013'!H98,"AAAAAHv97iw=")</f>
        <v>#VALUE!</v>
      </c>
      <c r="AT20" t="e">
        <f>AND('WJP Rule of Law Index 2012-2013'!I98,"AAAAAHv97i0=")</f>
        <v>#VALUE!</v>
      </c>
      <c r="AU20" t="e">
        <f>AND('WJP Rule of Law Index 2012-2013'!J98,"AAAAAHv97i4=")</f>
        <v>#VALUE!</v>
      </c>
      <c r="AV20" t="e">
        <f>AND('WJP Rule of Law Index 2012-2013'!K98,"AAAAAHv97i8=")</f>
        <v>#VALUE!</v>
      </c>
      <c r="AW20" t="e">
        <f>AND('WJP Rule of Law Index 2012-2013'!#REF!,"AAAAAHv97jA=")</f>
        <v>#REF!</v>
      </c>
      <c r="AX20" t="e">
        <f>AND('WJP Rule of Law Index 2012-2013'!#REF!,"AAAAAHv97jE=")</f>
        <v>#REF!</v>
      </c>
      <c r="AY20" t="e">
        <f>AND('WJP Rule of Law Index 2012-2013'!#REF!,"AAAAAHv97jI=")</f>
        <v>#REF!</v>
      </c>
      <c r="AZ20" t="e">
        <f>AND('WJP Rule of Law Index 2012-2013'!#REF!,"AAAAAHv97jM=")</f>
        <v>#REF!</v>
      </c>
      <c r="BA20" t="e">
        <f>AND('WJP Rule of Law Index 2012-2013'!#REF!,"AAAAAHv97jQ=")</f>
        <v>#REF!</v>
      </c>
      <c r="BB20" t="e">
        <f>AND('WJP Rule of Law Index 2012-2013'!#REF!,"AAAAAHv97jU=")</f>
        <v>#REF!</v>
      </c>
      <c r="BC20" t="e">
        <f>AND('WJP Rule of Law Index 2012-2013'!#REF!,"AAAAAHv97jY=")</f>
        <v>#REF!</v>
      </c>
      <c r="BD20" t="e">
        <f>AND('WJP Rule of Law Index 2012-2013'!P98,"AAAAAHv97jc=")</f>
        <v>#VALUE!</v>
      </c>
      <c r="BE20" t="e">
        <f>AND('WJP Rule of Law Index 2012-2013'!Q98,"AAAAAHv97jg=")</f>
        <v>#VALUE!</v>
      </c>
      <c r="BF20" t="e">
        <f>AND('WJP Rule of Law Index 2012-2013'!R98,"AAAAAHv97jk=")</f>
        <v>#VALUE!</v>
      </c>
      <c r="BG20" t="e">
        <f>AND('WJP Rule of Law Index 2012-2013'!S98,"AAAAAHv97jo=")</f>
        <v>#VALUE!</v>
      </c>
      <c r="BH20" t="e">
        <f>AND('WJP Rule of Law Index 2012-2013'!T98,"AAAAAHv97js=")</f>
        <v>#VALUE!</v>
      </c>
      <c r="BI20" t="e">
        <f>AND('WJP Rule of Law Index 2012-2013'!U98,"AAAAAHv97jw=")</f>
        <v>#VALUE!</v>
      </c>
      <c r="BJ20" t="e">
        <f>AND('WJP Rule of Law Index 2012-2013'!V98,"AAAAAHv97j0=")</f>
        <v>#VALUE!</v>
      </c>
      <c r="BK20" t="e">
        <f>AND('WJP Rule of Law Index 2012-2013'!W98,"AAAAAHv97j4=")</f>
        <v>#VALUE!</v>
      </c>
      <c r="BL20" t="e">
        <f>AND('WJP Rule of Law Index 2012-2013'!X98,"AAAAAHv97j8=")</f>
        <v>#VALUE!</v>
      </c>
      <c r="BM20" t="e">
        <f>AND('WJP Rule of Law Index 2012-2013'!Y98,"AAAAAHv97kA=")</f>
        <v>#VALUE!</v>
      </c>
      <c r="BN20" t="e">
        <f>AND('WJP Rule of Law Index 2012-2013'!Z98,"AAAAAHv97kE=")</f>
        <v>#VALUE!</v>
      </c>
      <c r="BO20" t="e">
        <f>AND('WJP Rule of Law Index 2012-2013'!AA98,"AAAAAHv97kI=")</f>
        <v>#VALUE!</v>
      </c>
      <c r="BP20" t="e">
        <f>AND('WJP Rule of Law Index 2012-2013'!AB98,"AAAAAHv97kM=")</f>
        <v>#VALUE!</v>
      </c>
      <c r="BQ20" t="e">
        <f>AND('WJP Rule of Law Index 2012-2013'!AC98,"AAAAAHv97kQ=")</f>
        <v>#VALUE!</v>
      </c>
      <c r="BR20" t="e">
        <f>AND('WJP Rule of Law Index 2012-2013'!AD98,"AAAAAHv97kU=")</f>
        <v>#VALUE!</v>
      </c>
      <c r="BS20" t="e">
        <f>AND('WJP Rule of Law Index 2012-2013'!AE98,"AAAAAHv97kY=")</f>
        <v>#VALUE!</v>
      </c>
      <c r="BT20" t="e">
        <f>AND('WJP Rule of Law Index 2012-2013'!AF98,"AAAAAHv97kc=")</f>
        <v>#VALUE!</v>
      </c>
      <c r="BU20" t="e">
        <f>AND('WJP Rule of Law Index 2012-2013'!AG98,"AAAAAHv97kg=")</f>
        <v>#VALUE!</v>
      </c>
      <c r="BV20" t="e">
        <f>AND('WJP Rule of Law Index 2012-2013'!#REF!,"AAAAAHv97kk=")</f>
        <v>#REF!</v>
      </c>
      <c r="BW20" t="e">
        <f>AND('WJP Rule of Law Index 2012-2013'!#REF!,"AAAAAHv97ko=")</f>
        <v>#REF!</v>
      </c>
      <c r="BX20" t="e">
        <f>AND('WJP Rule of Law Index 2012-2013'!AH98,"AAAAAHv97ks=")</f>
        <v>#VALUE!</v>
      </c>
      <c r="BY20" t="e">
        <f>AND('WJP Rule of Law Index 2012-2013'!AI98,"AAAAAHv97kw=")</f>
        <v>#VALUE!</v>
      </c>
      <c r="BZ20" t="e">
        <f>AND('WJP Rule of Law Index 2012-2013'!AJ98,"AAAAAHv97k0=")</f>
        <v>#VALUE!</v>
      </c>
      <c r="CA20" t="e">
        <f>AND('WJP Rule of Law Index 2012-2013'!AK98,"AAAAAHv97k4=")</f>
        <v>#VALUE!</v>
      </c>
      <c r="CB20" t="e">
        <f>AND('WJP Rule of Law Index 2012-2013'!AL98,"AAAAAHv97k8=")</f>
        <v>#VALUE!</v>
      </c>
      <c r="CC20" t="e">
        <f>AND('WJP Rule of Law Index 2012-2013'!AM98,"AAAAAHv97lA=")</f>
        <v>#VALUE!</v>
      </c>
      <c r="CD20" t="e">
        <f>AND('WJP Rule of Law Index 2012-2013'!AN98,"AAAAAHv97lE=")</f>
        <v>#VALUE!</v>
      </c>
      <c r="CE20" t="e">
        <f>AND('WJP Rule of Law Index 2012-2013'!AO98,"AAAAAHv97lI=")</f>
        <v>#VALUE!</v>
      </c>
      <c r="CF20" t="e">
        <f>AND('WJP Rule of Law Index 2012-2013'!AP98,"AAAAAHv97lM=")</f>
        <v>#VALUE!</v>
      </c>
      <c r="CG20" t="e">
        <f>IF('WJP Rule of Law Index 2012-2013'!A:A,"AAAAAHv97lQ=",0)</f>
        <v>#VALUE!</v>
      </c>
      <c r="CH20" t="e">
        <f>IF('WJP Rule of Law Index 2012-2013'!B:B,"AAAAAHv97lU=",0)</f>
        <v>#VALUE!</v>
      </c>
      <c r="CI20" t="e">
        <f>IF('WJP Rule of Law Index 2012-2013'!#REF!,"AAAAAHv97lY=",0)</f>
        <v>#REF!</v>
      </c>
      <c r="CJ20" t="e">
        <f>IF('WJP Rule of Law Index 2012-2013'!C:C,"AAAAAHv97lc=",0)</f>
        <v>#VALUE!</v>
      </c>
      <c r="CK20" t="e">
        <f>IF('WJP Rule of Law Index 2012-2013'!#REF!,"AAAAAHv97lg=",0)</f>
        <v>#REF!</v>
      </c>
      <c r="CL20" t="str">
        <f>IF('WJP Rule of Law Index 2012-2013'!D:D,"AAAAAHv97lk=",0)</f>
        <v>AAAAAHv97lk=</v>
      </c>
      <c r="CM20" t="str">
        <f>IF('WJP Rule of Law Index 2012-2013'!E:E,"AAAAAHv97lo=",0)</f>
        <v>AAAAAHv97lo=</v>
      </c>
      <c r="CN20" t="str">
        <f>IF('WJP Rule of Law Index 2012-2013'!F:F,"AAAAAHv97ls=",0)</f>
        <v>AAAAAHv97ls=</v>
      </c>
      <c r="CO20" t="str">
        <f>IF('WJP Rule of Law Index 2012-2013'!G:G,"AAAAAHv97lw=",0)</f>
        <v>AAAAAHv97lw=</v>
      </c>
      <c r="CP20" t="str">
        <f>IF('WJP Rule of Law Index 2012-2013'!H:H,"AAAAAHv97l0=",0)</f>
        <v>AAAAAHv97l0=</v>
      </c>
      <c r="CQ20" t="str">
        <f>IF('WJP Rule of Law Index 2012-2013'!I:I,"AAAAAHv97l4=",0)</f>
        <v>AAAAAHv97l4=</v>
      </c>
      <c r="CR20" t="str">
        <f>IF('WJP Rule of Law Index 2012-2013'!J:J,"AAAAAHv97l8=",0)</f>
        <v>AAAAAHv97l8=</v>
      </c>
      <c r="CS20" t="str">
        <f>IF('WJP Rule of Law Index 2012-2013'!K:K,"AAAAAHv97mA=",0)</f>
        <v>AAAAAHv97mA=</v>
      </c>
      <c r="CT20" t="str">
        <f>IF('WJP Rule of Law Index 2012-2013'!L:L,"AAAAAHv97mE=",0)</f>
        <v>AAAAAHv97mE=</v>
      </c>
      <c r="CU20" t="str">
        <f>IF('WJP Rule of Law Index 2012-2013'!M:M,"AAAAAHv97mI=",0)</f>
        <v>AAAAAHv97mI=</v>
      </c>
      <c r="CV20" t="str">
        <f>IF('WJP Rule of Law Index 2012-2013'!N:N,"AAAAAHv97mM=",0)</f>
        <v>AAAAAHv97mM=</v>
      </c>
      <c r="CW20" t="str">
        <f>IF('WJP Rule of Law Index 2012-2013'!O:O,"AAAAAHv97mQ=",0)</f>
        <v>AAAAAHv97mQ=</v>
      </c>
      <c r="CX20" t="e">
        <f>IF('WJP Rule of Law Index 2012-2013'!#REF!,"AAAAAHv97mU=",0)</f>
        <v>#REF!</v>
      </c>
      <c r="CY20" t="e">
        <f>IF('WJP Rule of Law Index 2012-2013'!#REF!,"AAAAAHv97mY=",0)</f>
        <v>#REF!</v>
      </c>
      <c r="CZ20" t="e">
        <f>IF('WJP Rule of Law Index 2012-2013'!#REF!,"AAAAAHv97mc=",0)</f>
        <v>#REF!</v>
      </c>
      <c r="DA20" t="str">
        <f>IF('WJP Rule of Law Index 2012-2013'!P:P,"AAAAAHv97mg=",0)</f>
        <v>AAAAAHv97mg=</v>
      </c>
      <c r="DB20" t="str">
        <f>IF('WJP Rule of Law Index 2012-2013'!Q:Q,"AAAAAHv97mk=",0)</f>
        <v>AAAAAHv97mk=</v>
      </c>
      <c r="DC20" t="str">
        <f>IF('WJP Rule of Law Index 2012-2013'!R:R,"AAAAAHv97mo=",0)</f>
        <v>AAAAAHv97mo=</v>
      </c>
      <c r="DD20" t="str">
        <f>IF('WJP Rule of Law Index 2012-2013'!S:S,"AAAAAHv97ms=",0)</f>
        <v>AAAAAHv97ms=</v>
      </c>
      <c r="DE20" t="str">
        <f>IF('WJP Rule of Law Index 2012-2013'!T:T,"AAAAAHv97mw=",0)</f>
        <v>AAAAAHv97mw=</v>
      </c>
      <c r="DF20" t="str">
        <f>IF('WJP Rule of Law Index 2012-2013'!U:U,"AAAAAHv97m0=",0)</f>
        <v>AAAAAHv97m0=</v>
      </c>
      <c r="DG20" t="str">
        <f>IF('WJP Rule of Law Index 2012-2013'!V:V,"AAAAAHv97m4=",0)</f>
        <v>AAAAAHv97m4=</v>
      </c>
      <c r="DH20" t="str">
        <f>IF('WJP Rule of Law Index 2012-2013'!W:W,"AAAAAHv97m8=",0)</f>
        <v>AAAAAHv97m8=</v>
      </c>
      <c r="DI20" t="str">
        <f>IF('WJP Rule of Law Index 2012-2013'!X:X,"AAAAAHv97nA=",0)</f>
        <v>AAAAAHv97nA=</v>
      </c>
      <c r="DJ20" t="str">
        <f>IF('WJP Rule of Law Index 2012-2013'!Y:Y,"AAAAAHv97nE=",0)</f>
        <v>AAAAAHv97nE=</v>
      </c>
      <c r="DK20" t="str">
        <f>IF('WJP Rule of Law Index 2012-2013'!Z:Z,"AAAAAHv97nI=",0)</f>
        <v>AAAAAHv97nI=</v>
      </c>
      <c r="DL20" t="str">
        <f>IF('WJP Rule of Law Index 2012-2013'!AA:AA,"AAAAAHv97nM=",0)</f>
        <v>AAAAAHv97nM=</v>
      </c>
      <c r="DM20" t="str">
        <f>IF('WJP Rule of Law Index 2012-2013'!AB:AB,"AAAAAHv97nQ=",0)</f>
        <v>AAAAAHv97nQ=</v>
      </c>
      <c r="DN20" t="str">
        <f>IF('WJP Rule of Law Index 2012-2013'!AC:AC,"AAAAAHv97nU=",0)</f>
        <v>AAAAAHv97nU=</v>
      </c>
      <c r="DO20" t="str">
        <f>IF('WJP Rule of Law Index 2012-2013'!AD:AD,"AAAAAHv97nY=",0)</f>
        <v>AAAAAHv97nY=</v>
      </c>
      <c r="DP20" t="str">
        <f>IF('WJP Rule of Law Index 2012-2013'!AE:AE,"AAAAAHv97nc=",0)</f>
        <v>AAAAAHv97nc=</v>
      </c>
      <c r="DQ20" t="str">
        <f>IF('WJP Rule of Law Index 2012-2013'!AF:AF,"AAAAAHv97ng=",0)</f>
        <v>AAAAAHv97ng=</v>
      </c>
      <c r="DR20" t="str">
        <f>IF('WJP Rule of Law Index 2012-2013'!AG:AG,"AAAAAHv97nk=",0)</f>
        <v>AAAAAHv97nk=</v>
      </c>
      <c r="DS20" t="e">
        <f>IF('WJP Rule of Law Index 2012-2013'!#REF!,"AAAAAHv97no=",0)</f>
        <v>#REF!</v>
      </c>
      <c r="DT20" t="e">
        <f>IF('WJP Rule of Law Index 2012-2013'!#REF!,"AAAAAHv97ns=",0)</f>
        <v>#REF!</v>
      </c>
      <c r="DU20" t="str">
        <f>IF('WJP Rule of Law Index 2012-2013'!AH:AH,"AAAAAHv97nw=",0)</f>
        <v>AAAAAHv97nw=</v>
      </c>
      <c r="DV20" t="str">
        <f>IF('WJP Rule of Law Index 2012-2013'!AI:AI,"AAAAAHv97n0=",0)</f>
        <v>AAAAAHv97n0=</v>
      </c>
      <c r="DW20" t="str">
        <f>IF('WJP Rule of Law Index 2012-2013'!AJ:AJ,"AAAAAHv97n4=",0)</f>
        <v>AAAAAHv97n4=</v>
      </c>
      <c r="DX20" t="str">
        <f>IF('WJP Rule of Law Index 2012-2013'!AK:AK,"AAAAAHv97n8=",0)</f>
        <v>AAAAAHv97n8=</v>
      </c>
      <c r="DY20" t="str">
        <f>IF('WJP Rule of Law Index 2012-2013'!AL:AL,"AAAAAHv97oA=",0)</f>
        <v>AAAAAHv97oA=</v>
      </c>
      <c r="DZ20" t="str">
        <f>IF('WJP Rule of Law Index 2012-2013'!AM:AM,"AAAAAHv97oE=",0)</f>
        <v>AAAAAHv97oE=</v>
      </c>
      <c r="EA20" t="str">
        <f>IF('WJP Rule of Law Index 2012-2013'!AN:AN,"AAAAAHv97oI=",0)</f>
        <v>AAAAAHv97oI=</v>
      </c>
      <c r="EB20" t="str">
        <f>IF('WJP Rule of Law Index 2012-2013'!AO:AO,"AAAAAHv97oM=",0)</f>
        <v>AAAAAHv97oM=</v>
      </c>
      <c r="EC20" t="str">
        <f>IF('WJP Rule of Law Index 2012-2013'!AP:AP,"AAAAAHv97oQ=",0)</f>
        <v>AAAAAHv97oQ=</v>
      </c>
      <c r="ED20" t="str">
        <f>IF('WJP Rule of Law Index 2012-2013'!AQ:AQ,"AAAAAHv97oU=",0)</f>
        <v>AAAAAHv97oU=</v>
      </c>
      <c r="EE20" t="str">
        <f>IF('WJP Rule of Law Index 2012-2013'!AR:AR,"AAAAAHv97oY=",0)</f>
        <v>AAAAAHv97oY=</v>
      </c>
      <c r="EF20" t="str">
        <f>IF('WJP Rule of Law Index 2012-2013'!AS:AS,"AAAAAHv97oc=",0)</f>
        <v>AAAAAHv97oc=</v>
      </c>
      <c r="EG20" t="str">
        <f>IF('WJP Rule of Law Index 2012-2013'!AT:AT,"AAAAAHv97og=",0)</f>
        <v>AAAAAHv97og=</v>
      </c>
      <c r="EH20" t="str">
        <f>IF('WJP Rule of Law Index 2012-2013'!AU:AU,"AAAAAHv97ok=",0)</f>
        <v>AAAAAHv97ok=</v>
      </c>
      <c r="EI20" t="e">
        <f>IF('WJP Rule of Law Index 2012-2013'!#REF!,"AAAAAHv97oo=",0)</f>
        <v>#REF!</v>
      </c>
      <c r="EJ20" t="str">
        <f>IF('WJP Rule of Law Index 2012-2013'!AV:AV,"AAAAAHv97os=",0)</f>
        <v>AAAAAHv97os=</v>
      </c>
      <c r="EK20" t="str">
        <f>IF('WJP Rule of Law Index 2012-2013'!AW:AW,"AAAAAHv97ow=",0)</f>
        <v>AAAAAHv97ow=</v>
      </c>
      <c r="EL20" t="str">
        <f>IF('WJP Rule of Law Index 2012-2013'!AX:AX,"AAAAAHv97o0=",0)</f>
        <v>AAAAAHv97o0=</v>
      </c>
      <c r="EM20" t="str">
        <f>IF('WJP Rule of Law Index 2012-2013'!AY:AY,"AAAAAHv97o4=",0)</f>
        <v>AAAAAHv97o4=</v>
      </c>
      <c r="EN20" t="str">
        <f>IF('WJP Rule of Law Index 2012-2013'!AZ:AZ,"AAAAAHv97o8=",0)</f>
        <v>AAAAAHv97o8=</v>
      </c>
      <c r="EO20" t="str">
        <f>IF('WJP Rule of Law Index 2012-2013'!BA:BA,"AAAAAHv97pA=",0)</f>
        <v>AAAAAHv97pA=</v>
      </c>
      <c r="EP20" t="str">
        <f>IF('WJP Rule of Law Index 2012-2013'!BB:BB,"AAAAAHv97pE=",0)</f>
        <v>AAAAAHv97pE=</v>
      </c>
      <c r="EQ20" t="str">
        <f>IF('WJP Rule of Law Index 2012-2013'!BC:BC,"AAAAAHv97pI=",0)</f>
        <v>AAAAAHv97pI=</v>
      </c>
      <c r="ER20">
        <f>IF('WJP Rule of Law Index 2012-2013'!BD:BD,"AAAAAHv97pM=",0)</f>
        <v>0</v>
      </c>
      <c r="ES20">
        <f>IF('WJP Rule of Law Index 2012-2013'!BE:BE,"AAAAAHv97pQ=",0)</f>
        <v>0</v>
      </c>
      <c r="ET20">
        <f>IF('WJP Rule of Law Index 2012-2013'!BF:BF,"AAAAAHv97pU=",0)</f>
        <v>0</v>
      </c>
      <c r="EU20">
        <f>IF('WJP Rule of Law Index 2012-2013'!BG:BG,"AAAAAHv97pY=",0)</f>
        <v>0</v>
      </c>
      <c r="EV20">
        <f>IF('WJP Rule of Law Index 2012-2013'!BH:BH,"AAAAAHv97pc=",0)</f>
        <v>0</v>
      </c>
      <c r="EW20">
        <f>IF('WJP Rule of Law Index 2012-2013'!BI:BI,"AAAAAHv97pg=",0)</f>
        <v>0</v>
      </c>
      <c r="EX20">
        <f>IF('WJP Rule of Law Index 2012-2013'!BJ:BJ,"AAAAAHv97pk=",0)</f>
        <v>0</v>
      </c>
      <c r="EY20">
        <f>IF('WJP Rule of Law Index 2012-2013'!BK:BK,"AAAAAHv97po=",0)</f>
        <v>0</v>
      </c>
      <c r="EZ20">
        <f>IF('WJP Rule of Law Index 2012-2013'!BL:BL,"AAAAAHv97ps=",0)</f>
        <v>0</v>
      </c>
      <c r="FA20">
        <f>IF('WJP Rule of Law Index 2012-2013'!BM:BM,"AAAAAHv97pw=",0)</f>
        <v>0</v>
      </c>
      <c r="FB20">
        <f>IF('WJP Rule of Law Index 2012-2013'!BN:BN,"AAAAAHv97p0=",0)</f>
        <v>0</v>
      </c>
      <c r="FC20">
        <f>IF('WJP Rule of Law Index 2012-2013'!BO:BO,"AAAAAHv97p4=",0)</f>
        <v>0</v>
      </c>
      <c r="FD20">
        <f>IF('WJP Rule of Law Index 2012-2013'!BP:BP,"AAAAAHv97p8=",0)</f>
        <v>0</v>
      </c>
      <c r="FE20">
        <f>IF('WJP Rule of Law Index 2012-2013'!BQ:BQ,"AAAAAHv97qA=",0)</f>
        <v>0</v>
      </c>
      <c r="FF20">
        <f>IF('WJP Rule of Law Index 2012-2013'!BR:BR,"AAAAAHv97qE=",0)</f>
        <v>0</v>
      </c>
      <c r="FG20">
        <f>IF('WJP Rule of Law Index 2012-2013'!BS:BS,"AAAAAHv97qI=",0)</f>
        <v>0</v>
      </c>
      <c r="FH20">
        <f>IF('WJP Rule of Law Index 2012-2013'!BT:BT,"AAAAAHv97qM=",0)</f>
        <v>0</v>
      </c>
      <c r="FI20">
        <f>IF('WJP Rule of Law Index 2012-2013'!BU:BU,"AAAAAHv97qQ=",0)</f>
        <v>0</v>
      </c>
      <c r="FJ20">
        <f>IF('WJP Rule of Law Index 2012-2013'!BV:BV,"AAAAAHv97qU=",0)</f>
        <v>0</v>
      </c>
      <c r="FK20">
        <f>IF('WJP Rule of Law Index 2012-2013'!BW:BW,"AAAAAHv97qY=",0)</f>
        <v>0</v>
      </c>
      <c r="FL20" t="e">
        <f>IF(#REF!,"AAAAAHv97qc=",0)</f>
        <v>#REF!</v>
      </c>
      <c r="FM20" t="e">
        <f>AND(#REF!,"AAAAAHv97qg=")</f>
        <v>#REF!</v>
      </c>
      <c r="FN20" t="e">
        <f>AND(#REF!,"AAAAAHv97qk=")</f>
        <v>#REF!</v>
      </c>
      <c r="FO20" t="e">
        <f>AND(#REF!,"AAAAAHv97qo=")</f>
        <v>#REF!</v>
      </c>
      <c r="FP20" t="e">
        <f>AND(#REF!,"AAAAAHv97qs=")</f>
        <v>#REF!</v>
      </c>
      <c r="FQ20" t="e">
        <f>AND(#REF!,"AAAAAHv97qw=")</f>
        <v>#REF!</v>
      </c>
      <c r="FR20" t="e">
        <f>AND(#REF!,"AAAAAHv97q0=")</f>
        <v>#REF!</v>
      </c>
      <c r="FS20" t="e">
        <f>AND(#REF!,"AAAAAHv97q4=")</f>
        <v>#REF!</v>
      </c>
      <c r="FT20" t="e">
        <f>AND(#REF!,"AAAAAHv97q8=")</f>
        <v>#REF!</v>
      </c>
      <c r="FU20" t="e">
        <f>AND(#REF!,"AAAAAHv97rA=")</f>
        <v>#REF!</v>
      </c>
      <c r="FV20" t="e">
        <f>AND(#REF!,"AAAAAHv97rE=")</f>
        <v>#REF!</v>
      </c>
      <c r="FW20" t="e">
        <f>AND(#REF!,"AAAAAHv97rI=")</f>
        <v>#REF!</v>
      </c>
      <c r="FX20" t="e">
        <f>AND(#REF!,"AAAAAHv97rM=")</f>
        <v>#REF!</v>
      </c>
      <c r="FY20" t="e">
        <f>AND(#REF!,"AAAAAHv97rQ=")</f>
        <v>#REF!</v>
      </c>
      <c r="FZ20" t="e">
        <f>AND(#REF!,"AAAAAHv97rU=")</f>
        <v>#REF!</v>
      </c>
      <c r="GA20" t="e">
        <f>AND(#REF!,"AAAAAHv97rY=")</f>
        <v>#REF!</v>
      </c>
      <c r="GB20" t="e">
        <f>AND(#REF!,"AAAAAHv97rc=")</f>
        <v>#REF!</v>
      </c>
      <c r="GC20" t="e">
        <f>AND(#REF!,"AAAAAHv97rg=")</f>
        <v>#REF!</v>
      </c>
      <c r="GD20" t="e">
        <f>AND(#REF!,"AAAAAHv97rk=")</f>
        <v>#REF!</v>
      </c>
      <c r="GE20" t="e">
        <f>AND(#REF!,"AAAAAHv97ro=")</f>
        <v>#REF!</v>
      </c>
      <c r="GF20" t="e">
        <f>AND(#REF!,"AAAAAHv97rs=")</f>
        <v>#REF!</v>
      </c>
      <c r="GG20" t="e">
        <f>AND(#REF!,"AAAAAHv97rw=")</f>
        <v>#REF!</v>
      </c>
      <c r="GH20" t="e">
        <f>AND(#REF!,"AAAAAHv97r0=")</f>
        <v>#REF!</v>
      </c>
      <c r="GI20" t="e">
        <f>AND(#REF!,"AAAAAHv97r4=")</f>
        <v>#REF!</v>
      </c>
      <c r="GJ20" t="e">
        <f>AND(#REF!,"AAAAAHv97r8=")</f>
        <v>#REF!</v>
      </c>
      <c r="GK20" t="e">
        <f>AND(#REF!,"AAAAAHv97sA=")</f>
        <v>#REF!</v>
      </c>
      <c r="GL20" t="e">
        <f>AND(#REF!,"AAAAAHv97sE=")</f>
        <v>#REF!</v>
      </c>
      <c r="GM20" t="e">
        <f>AND(#REF!,"AAAAAHv97sI=")</f>
        <v>#REF!</v>
      </c>
      <c r="GN20" t="e">
        <f>AND(#REF!,"AAAAAHv97sM=")</f>
        <v>#REF!</v>
      </c>
      <c r="GO20" t="e">
        <f>AND(#REF!,"AAAAAHv97sQ=")</f>
        <v>#REF!</v>
      </c>
      <c r="GP20" t="e">
        <f>AND(#REF!,"AAAAAHv97sU=")</f>
        <v>#REF!</v>
      </c>
      <c r="GQ20" t="e">
        <f>AND(#REF!,"AAAAAHv97sY=")</f>
        <v>#REF!</v>
      </c>
      <c r="GR20" t="e">
        <f>AND(#REF!,"AAAAAHv97sc=")</f>
        <v>#REF!</v>
      </c>
      <c r="GS20" t="e">
        <f>AND(#REF!,"AAAAAHv97sg=")</f>
        <v>#REF!</v>
      </c>
      <c r="GT20" t="e">
        <f>AND(#REF!,"AAAAAHv97sk=")</f>
        <v>#REF!</v>
      </c>
      <c r="GU20" t="e">
        <f>AND(#REF!,"AAAAAHv97so=")</f>
        <v>#REF!</v>
      </c>
      <c r="GV20" t="e">
        <f>AND(#REF!,"AAAAAHv97ss=")</f>
        <v>#REF!</v>
      </c>
      <c r="GW20" t="e">
        <f>AND(#REF!,"AAAAAHv97sw=")</f>
        <v>#REF!</v>
      </c>
      <c r="GX20" t="e">
        <f>AND(#REF!,"AAAAAHv97s0=")</f>
        <v>#REF!</v>
      </c>
      <c r="GY20" t="e">
        <f>AND(#REF!,"AAAAAHv97s4=")</f>
        <v>#REF!</v>
      </c>
      <c r="GZ20" t="e">
        <f>AND(#REF!,"AAAAAHv97s8=")</f>
        <v>#REF!</v>
      </c>
      <c r="HA20" t="e">
        <f>AND(#REF!,"AAAAAHv97tA=")</f>
        <v>#REF!</v>
      </c>
      <c r="HB20" t="e">
        <f>AND(#REF!,"AAAAAHv97tE=")</f>
        <v>#REF!</v>
      </c>
      <c r="HC20" t="e">
        <f>AND(#REF!,"AAAAAHv97tI=")</f>
        <v>#REF!</v>
      </c>
      <c r="HD20" t="e">
        <f>AND(#REF!,"AAAAAHv97tM=")</f>
        <v>#REF!</v>
      </c>
      <c r="HE20" t="e">
        <f>AND(#REF!,"AAAAAHv97tQ=")</f>
        <v>#REF!</v>
      </c>
      <c r="HF20" t="e">
        <f>AND(#REF!,"AAAAAHv97tU=")</f>
        <v>#REF!</v>
      </c>
      <c r="HG20" t="e">
        <f>AND(#REF!,"AAAAAHv97tY=")</f>
        <v>#REF!</v>
      </c>
      <c r="HH20" t="e">
        <f>AND(#REF!,"AAAAAHv97tc=")</f>
        <v>#REF!</v>
      </c>
      <c r="HI20" t="e">
        <f>AND(#REF!,"AAAAAHv97tg=")</f>
        <v>#REF!</v>
      </c>
      <c r="HJ20" t="e">
        <f>AND(#REF!,"AAAAAHv97tk=")</f>
        <v>#REF!</v>
      </c>
      <c r="HK20" t="e">
        <f>AND(#REF!,"AAAAAHv97to=")</f>
        <v>#REF!</v>
      </c>
      <c r="HL20" t="e">
        <f>AND(#REF!,"AAAAAHv97ts=")</f>
        <v>#REF!</v>
      </c>
      <c r="HM20" t="e">
        <f>AND(#REF!,"AAAAAHv97tw=")</f>
        <v>#REF!</v>
      </c>
      <c r="HN20" t="e">
        <f>AND(#REF!,"AAAAAHv97t0=")</f>
        <v>#REF!</v>
      </c>
      <c r="HO20" t="e">
        <f>AND(#REF!,"AAAAAHv97t4=")</f>
        <v>#REF!</v>
      </c>
      <c r="HP20" t="e">
        <f>AND(#REF!,"AAAAAHv97t8=")</f>
        <v>#REF!</v>
      </c>
      <c r="HQ20" t="e">
        <f>AND(#REF!,"AAAAAHv97uA=")</f>
        <v>#REF!</v>
      </c>
      <c r="HR20" t="e">
        <f>AND(#REF!,"AAAAAHv97uE=")</f>
        <v>#REF!</v>
      </c>
      <c r="HS20" t="e">
        <f>AND(#REF!,"AAAAAHv97uI=")</f>
        <v>#REF!</v>
      </c>
      <c r="HT20" t="e">
        <f>AND(#REF!,"AAAAAHv97uM=")</f>
        <v>#REF!</v>
      </c>
      <c r="HU20" t="e">
        <f>AND(#REF!,"AAAAAHv97uQ=")</f>
        <v>#REF!</v>
      </c>
      <c r="HV20" t="e">
        <f>AND(#REF!,"AAAAAHv97uU=")</f>
        <v>#REF!</v>
      </c>
      <c r="HW20" t="e">
        <f>AND(#REF!,"AAAAAHv97uY=")</f>
        <v>#REF!</v>
      </c>
      <c r="HX20" t="e">
        <f>AND(#REF!,"AAAAAHv97uc=")</f>
        <v>#REF!</v>
      </c>
      <c r="HY20" t="e">
        <f>AND(#REF!,"AAAAAHv97ug=")</f>
        <v>#REF!</v>
      </c>
      <c r="HZ20" t="e">
        <f>AND(#REF!,"AAAAAHv97uk=")</f>
        <v>#REF!</v>
      </c>
      <c r="IA20" t="e">
        <f>AND(#REF!,"AAAAAHv97uo=")</f>
        <v>#REF!</v>
      </c>
      <c r="IB20" t="e">
        <f>AND(#REF!,"AAAAAHv97us=")</f>
        <v>#REF!</v>
      </c>
      <c r="IC20" t="e">
        <f>AND(#REF!,"AAAAAHv97uw=")</f>
        <v>#REF!</v>
      </c>
      <c r="ID20" t="e">
        <f>AND(#REF!,"AAAAAHv97u0=")</f>
        <v>#REF!</v>
      </c>
      <c r="IE20" t="e">
        <f>AND(#REF!,"AAAAAHv97u4=")</f>
        <v>#REF!</v>
      </c>
      <c r="IF20" t="e">
        <f>AND(#REF!,"AAAAAHv97u8=")</f>
        <v>#REF!</v>
      </c>
      <c r="IG20" t="e">
        <f>AND(#REF!,"AAAAAHv97vA=")</f>
        <v>#REF!</v>
      </c>
      <c r="IH20" t="e">
        <f>AND(#REF!,"AAAAAHv97vE=")</f>
        <v>#REF!</v>
      </c>
      <c r="II20" t="e">
        <f>AND(#REF!,"AAAAAHv97vI=")</f>
        <v>#REF!</v>
      </c>
      <c r="IJ20" t="e">
        <f>AND(#REF!,"AAAAAHv97vM=")</f>
        <v>#REF!</v>
      </c>
      <c r="IK20" t="e">
        <f>AND(#REF!,"AAAAAHv97vQ=")</f>
        <v>#REF!</v>
      </c>
      <c r="IL20" t="e">
        <f>AND(#REF!,"AAAAAHv97vU=")</f>
        <v>#REF!</v>
      </c>
      <c r="IM20" t="e">
        <f>AND(#REF!,"AAAAAHv97vY=")</f>
        <v>#REF!</v>
      </c>
      <c r="IN20" t="e">
        <f>AND(#REF!,"AAAAAHv97vc=")</f>
        <v>#REF!</v>
      </c>
      <c r="IO20" t="e">
        <f>AND(#REF!,"AAAAAHv97vg=")</f>
        <v>#REF!</v>
      </c>
      <c r="IP20" t="e">
        <f>AND(#REF!,"AAAAAHv97vk=")</f>
        <v>#REF!</v>
      </c>
      <c r="IQ20" t="e">
        <f>AND(#REF!,"AAAAAHv97vo=")</f>
        <v>#REF!</v>
      </c>
      <c r="IR20" t="e">
        <f>AND(#REF!,"AAAAAHv97vs=")</f>
        <v>#REF!</v>
      </c>
      <c r="IS20" t="e">
        <f>AND(#REF!,"AAAAAHv97vw=")</f>
        <v>#REF!</v>
      </c>
      <c r="IT20" t="e">
        <f>AND(#REF!,"AAAAAHv97v0=")</f>
        <v>#REF!</v>
      </c>
      <c r="IU20" t="e">
        <f>AND(#REF!,"AAAAAHv97v4=")</f>
        <v>#REF!</v>
      </c>
      <c r="IV20" t="e">
        <f>AND(#REF!,"AAAAAHv97v8=")</f>
        <v>#REF!</v>
      </c>
    </row>
    <row r="21" spans="1:256" ht="15">
      <c r="A21" t="e">
        <f>AND(#REF!,"AAAAAH99qwA=")</f>
        <v>#REF!</v>
      </c>
      <c r="B21" t="e">
        <f>AND(#REF!,"AAAAAH99qwE=")</f>
        <v>#REF!</v>
      </c>
      <c r="C21" t="e">
        <f>AND(#REF!,"AAAAAH99qwI=")</f>
        <v>#REF!</v>
      </c>
      <c r="D21" t="e">
        <f>AND(#REF!,"AAAAAH99qwM=")</f>
        <v>#REF!</v>
      </c>
      <c r="E21" t="e">
        <f>AND(#REF!,"AAAAAH99qwQ=")</f>
        <v>#REF!</v>
      </c>
      <c r="F21" t="e">
        <f>AND(#REF!,"AAAAAH99qwU=")</f>
        <v>#REF!</v>
      </c>
      <c r="G21" t="e">
        <f>AND(#REF!,"AAAAAH99qwY=")</f>
        <v>#REF!</v>
      </c>
      <c r="H21" t="e">
        <f>AND(#REF!,"AAAAAH99qwc=")</f>
        <v>#REF!</v>
      </c>
      <c r="I21" t="e">
        <f>AND(#REF!,"AAAAAH99qwg=")</f>
        <v>#REF!</v>
      </c>
      <c r="J21" t="e">
        <f>AND(#REF!,"AAAAAH99qwk=")</f>
        <v>#REF!</v>
      </c>
      <c r="K21" t="e">
        <f>AND(#REF!,"AAAAAH99qwo=")</f>
        <v>#REF!</v>
      </c>
      <c r="L21" t="e">
        <f>AND(#REF!,"AAAAAH99qws=")</f>
        <v>#REF!</v>
      </c>
      <c r="M21" t="e">
        <f>AND(#REF!,"AAAAAH99qww=")</f>
        <v>#REF!</v>
      </c>
      <c r="N21" t="e">
        <f>AND(#REF!,"AAAAAH99qw0=")</f>
        <v>#REF!</v>
      </c>
      <c r="O21" t="e">
        <f>AND(#REF!,"AAAAAH99qw4=")</f>
        <v>#REF!</v>
      </c>
      <c r="P21" t="e">
        <f>AND(#REF!,"AAAAAH99qw8=")</f>
        <v>#REF!</v>
      </c>
      <c r="Q21" t="e">
        <f>AND(#REF!,"AAAAAH99qxA=")</f>
        <v>#REF!</v>
      </c>
      <c r="R21" t="e">
        <f>AND(#REF!,"AAAAAH99qxE=")</f>
        <v>#REF!</v>
      </c>
      <c r="S21" t="e">
        <f>AND(#REF!,"AAAAAH99qxI=")</f>
        <v>#REF!</v>
      </c>
      <c r="T21" t="e">
        <f>AND(#REF!,"AAAAAH99qxM=")</f>
        <v>#REF!</v>
      </c>
      <c r="U21" t="e">
        <f>AND(#REF!,"AAAAAH99qxQ=")</f>
        <v>#REF!</v>
      </c>
      <c r="V21" t="e">
        <f>AND(#REF!,"AAAAAH99qxU=")</f>
        <v>#REF!</v>
      </c>
      <c r="W21" t="e">
        <f>AND(#REF!,"AAAAAH99qxY=")</f>
        <v>#REF!</v>
      </c>
      <c r="X21" t="e">
        <f>AND(#REF!,"AAAAAH99qxc=")</f>
        <v>#REF!</v>
      </c>
      <c r="Y21" t="e">
        <f>AND(#REF!,"AAAAAH99qxg=")</f>
        <v>#REF!</v>
      </c>
      <c r="Z21" t="e">
        <f>AND(#REF!,"AAAAAH99qxk=")</f>
        <v>#REF!</v>
      </c>
      <c r="AA21" t="e">
        <f>AND(#REF!,"AAAAAH99qxo=")</f>
        <v>#REF!</v>
      </c>
      <c r="AB21" t="e">
        <f>AND(#REF!,"AAAAAH99qxs=")</f>
        <v>#REF!</v>
      </c>
      <c r="AC21" t="e">
        <f>AND(#REF!,"AAAAAH99qxw=")</f>
        <v>#REF!</v>
      </c>
      <c r="AD21" t="e">
        <f>AND(#REF!,"AAAAAH99qx0=")</f>
        <v>#REF!</v>
      </c>
      <c r="AE21" t="e">
        <f>AND(#REF!,"AAAAAH99qx4=")</f>
        <v>#REF!</v>
      </c>
      <c r="AF21" t="e">
        <f>AND(#REF!,"AAAAAH99qx8=")</f>
        <v>#REF!</v>
      </c>
      <c r="AG21" t="e">
        <f>AND(#REF!,"AAAAAH99qyA=")</f>
        <v>#REF!</v>
      </c>
      <c r="AH21" t="e">
        <f>AND(#REF!,"AAAAAH99qyE=")</f>
        <v>#REF!</v>
      </c>
      <c r="AI21" t="e">
        <f>AND(#REF!,"AAAAAH99qyI=")</f>
        <v>#REF!</v>
      </c>
      <c r="AJ21" t="e">
        <f>AND(#REF!,"AAAAAH99qyM=")</f>
        <v>#REF!</v>
      </c>
      <c r="AK21" t="e">
        <f>AND(#REF!,"AAAAAH99qyQ=")</f>
        <v>#REF!</v>
      </c>
      <c r="AL21" t="e">
        <f>AND(#REF!,"AAAAAH99qyU=")</f>
        <v>#REF!</v>
      </c>
      <c r="AM21" t="e">
        <f>AND(#REF!,"AAAAAH99qyY=")</f>
        <v>#REF!</v>
      </c>
      <c r="AN21" t="e">
        <f>AND(#REF!,"AAAAAH99qyc=")</f>
        <v>#REF!</v>
      </c>
      <c r="AO21" t="e">
        <f>AND(#REF!,"AAAAAH99qyg=")</f>
        <v>#REF!</v>
      </c>
      <c r="AP21" t="e">
        <f>AND(#REF!,"AAAAAH99qyk=")</f>
        <v>#REF!</v>
      </c>
      <c r="AQ21" t="e">
        <f>AND(#REF!,"AAAAAH99qyo=")</f>
        <v>#REF!</v>
      </c>
      <c r="AR21" t="e">
        <f>AND(#REF!,"AAAAAH99qys=")</f>
        <v>#REF!</v>
      </c>
      <c r="AS21" t="e">
        <f>AND(#REF!,"AAAAAH99qyw=")</f>
        <v>#REF!</v>
      </c>
      <c r="AT21" t="e">
        <f>AND(#REF!,"AAAAAH99qy0=")</f>
        <v>#REF!</v>
      </c>
      <c r="AU21" t="e">
        <f>AND(#REF!,"AAAAAH99qy4=")</f>
        <v>#REF!</v>
      </c>
      <c r="AV21" t="e">
        <f>IF(#REF!,"AAAAAH99qy8=",0)</f>
        <v>#REF!</v>
      </c>
      <c r="AW21" t="e">
        <f>AND(#REF!,"AAAAAH99qzA=")</f>
        <v>#REF!</v>
      </c>
      <c r="AX21" t="e">
        <f>AND(#REF!,"AAAAAH99qzE=")</f>
        <v>#REF!</v>
      </c>
      <c r="AY21" t="e">
        <f>AND(#REF!,"AAAAAH99qzI=")</f>
        <v>#REF!</v>
      </c>
      <c r="AZ21" t="e">
        <f>AND(#REF!,"AAAAAH99qzM=")</f>
        <v>#REF!</v>
      </c>
      <c r="BA21" t="e">
        <f>AND(#REF!,"AAAAAH99qzQ=")</f>
        <v>#REF!</v>
      </c>
      <c r="BB21" t="e">
        <f>AND(#REF!,"AAAAAH99qzU=")</f>
        <v>#REF!</v>
      </c>
      <c r="BC21" t="e">
        <f>AND(#REF!,"AAAAAH99qzY=")</f>
        <v>#REF!</v>
      </c>
      <c r="BD21" t="e">
        <f>AND(#REF!,"AAAAAH99qzc=")</f>
        <v>#REF!</v>
      </c>
      <c r="BE21" t="e">
        <f>AND(#REF!,"AAAAAH99qzg=")</f>
        <v>#REF!</v>
      </c>
      <c r="BF21" t="e">
        <f>AND(#REF!,"AAAAAH99qzk=")</f>
        <v>#REF!</v>
      </c>
      <c r="BG21" t="e">
        <f>AND(#REF!,"AAAAAH99qzo=")</f>
        <v>#REF!</v>
      </c>
      <c r="BH21" t="e">
        <f>AND(#REF!,"AAAAAH99qzs=")</f>
        <v>#REF!</v>
      </c>
      <c r="BI21" t="e">
        <f>AND(#REF!,"AAAAAH99qzw=")</f>
        <v>#REF!</v>
      </c>
      <c r="BJ21" t="e">
        <f>AND(#REF!,"AAAAAH99qz0=")</f>
        <v>#REF!</v>
      </c>
      <c r="BK21" t="e">
        <f>AND(#REF!,"AAAAAH99qz4=")</f>
        <v>#REF!</v>
      </c>
      <c r="BL21" t="e">
        <f>AND(#REF!,"AAAAAH99qz8=")</f>
        <v>#REF!</v>
      </c>
      <c r="BM21" t="e">
        <f>AND(#REF!,"AAAAAH99q0A=")</f>
        <v>#REF!</v>
      </c>
      <c r="BN21" t="e">
        <f>AND(#REF!,"AAAAAH99q0E=")</f>
        <v>#REF!</v>
      </c>
      <c r="BO21" t="e">
        <f>AND(#REF!,"AAAAAH99q0I=")</f>
        <v>#REF!</v>
      </c>
      <c r="BP21" t="e">
        <f>AND(#REF!,"AAAAAH99q0M=")</f>
        <v>#REF!</v>
      </c>
      <c r="BQ21" t="e">
        <f>AND(#REF!,"AAAAAH99q0Q=")</f>
        <v>#REF!</v>
      </c>
      <c r="BR21" t="e">
        <f>AND(#REF!,"AAAAAH99q0U=")</f>
        <v>#REF!</v>
      </c>
      <c r="BS21" t="e">
        <f>AND(#REF!,"AAAAAH99q0Y=")</f>
        <v>#REF!</v>
      </c>
      <c r="BT21" t="e">
        <f>AND(#REF!,"AAAAAH99q0c=")</f>
        <v>#REF!</v>
      </c>
      <c r="BU21" t="e">
        <f>AND(#REF!,"AAAAAH99q0g=")</f>
        <v>#REF!</v>
      </c>
      <c r="BV21" t="e">
        <f>AND(#REF!,"AAAAAH99q0k=")</f>
        <v>#REF!</v>
      </c>
      <c r="BW21" t="e">
        <f>AND(#REF!,"AAAAAH99q0o=")</f>
        <v>#REF!</v>
      </c>
      <c r="BX21" t="e">
        <f>AND(#REF!,"AAAAAH99q0s=")</f>
        <v>#REF!</v>
      </c>
      <c r="BY21" t="e">
        <f>AND(#REF!,"AAAAAH99q0w=")</f>
        <v>#REF!</v>
      </c>
      <c r="BZ21" t="e">
        <f>AND(#REF!,"AAAAAH99q00=")</f>
        <v>#REF!</v>
      </c>
      <c r="CA21" t="e">
        <f>AND(#REF!,"AAAAAH99q04=")</f>
        <v>#REF!</v>
      </c>
      <c r="CB21" t="e">
        <f>AND(#REF!,"AAAAAH99q08=")</f>
        <v>#REF!</v>
      </c>
      <c r="CC21" t="e">
        <f>AND(#REF!,"AAAAAH99q1A=")</f>
        <v>#REF!</v>
      </c>
      <c r="CD21" t="e">
        <f>AND(#REF!,"AAAAAH99q1E=")</f>
        <v>#REF!</v>
      </c>
      <c r="CE21" t="e">
        <f>AND(#REF!,"AAAAAH99q1I=")</f>
        <v>#REF!</v>
      </c>
      <c r="CF21" t="e">
        <f>AND(#REF!,"AAAAAH99q1M=")</f>
        <v>#REF!</v>
      </c>
      <c r="CG21" t="e">
        <f>AND(#REF!,"AAAAAH99q1Q=")</f>
        <v>#REF!</v>
      </c>
      <c r="CH21" t="e">
        <f>AND(#REF!,"AAAAAH99q1U=")</f>
        <v>#REF!</v>
      </c>
      <c r="CI21" t="e">
        <f>AND(#REF!,"AAAAAH99q1Y=")</f>
        <v>#REF!</v>
      </c>
      <c r="CJ21" t="e">
        <f>AND(#REF!,"AAAAAH99q1c=")</f>
        <v>#REF!</v>
      </c>
      <c r="CK21" t="e">
        <f>AND(#REF!,"AAAAAH99q1g=")</f>
        <v>#REF!</v>
      </c>
      <c r="CL21" t="e">
        <f>AND(#REF!,"AAAAAH99q1k=")</f>
        <v>#REF!</v>
      </c>
      <c r="CM21" t="e">
        <f>AND(#REF!,"AAAAAH99q1o=")</f>
        <v>#REF!</v>
      </c>
      <c r="CN21" t="e">
        <f>AND(#REF!,"AAAAAH99q1s=")</f>
        <v>#REF!</v>
      </c>
      <c r="CO21" t="e">
        <f>AND(#REF!,"AAAAAH99q1w=")</f>
        <v>#REF!</v>
      </c>
      <c r="CP21" t="e">
        <f>AND(#REF!,"AAAAAH99q10=")</f>
        <v>#REF!</v>
      </c>
      <c r="CQ21" t="e">
        <f>AND(#REF!,"AAAAAH99q14=")</f>
        <v>#REF!</v>
      </c>
      <c r="CR21" t="e">
        <f>AND(#REF!,"AAAAAH99q18=")</f>
        <v>#REF!</v>
      </c>
      <c r="CS21" t="e">
        <f>AND(#REF!,"AAAAAH99q2A=")</f>
        <v>#REF!</v>
      </c>
      <c r="CT21" t="e">
        <f>AND(#REF!,"AAAAAH99q2E=")</f>
        <v>#REF!</v>
      </c>
      <c r="CU21" t="e">
        <f>AND(#REF!,"AAAAAH99q2I=")</f>
        <v>#REF!</v>
      </c>
      <c r="CV21" t="e">
        <f>AND(#REF!,"AAAAAH99q2M=")</f>
        <v>#REF!</v>
      </c>
      <c r="CW21" t="e">
        <f>AND(#REF!,"AAAAAH99q2Q=")</f>
        <v>#REF!</v>
      </c>
      <c r="CX21" t="e">
        <f>AND(#REF!,"AAAAAH99q2U=")</f>
        <v>#REF!</v>
      </c>
      <c r="CY21" t="e">
        <f>AND(#REF!,"AAAAAH99q2Y=")</f>
        <v>#REF!</v>
      </c>
      <c r="CZ21" t="e">
        <f>AND(#REF!,"AAAAAH99q2c=")</f>
        <v>#REF!</v>
      </c>
      <c r="DA21" t="e">
        <f>AND(#REF!,"AAAAAH99q2g=")</f>
        <v>#REF!</v>
      </c>
      <c r="DB21" t="e">
        <f>AND(#REF!,"AAAAAH99q2k=")</f>
        <v>#REF!</v>
      </c>
      <c r="DC21" t="e">
        <f>AND(#REF!,"AAAAAH99q2o=")</f>
        <v>#REF!</v>
      </c>
      <c r="DD21" t="e">
        <f>AND(#REF!,"AAAAAH99q2s=")</f>
        <v>#REF!</v>
      </c>
      <c r="DE21" t="e">
        <f>AND(#REF!,"AAAAAH99q2w=")</f>
        <v>#REF!</v>
      </c>
      <c r="DF21" t="e">
        <f>AND(#REF!,"AAAAAH99q20=")</f>
        <v>#REF!</v>
      </c>
      <c r="DG21" t="e">
        <f>AND(#REF!,"AAAAAH99q24=")</f>
        <v>#REF!</v>
      </c>
      <c r="DH21" t="e">
        <f>AND(#REF!,"AAAAAH99q28=")</f>
        <v>#REF!</v>
      </c>
      <c r="DI21" t="e">
        <f>AND(#REF!,"AAAAAH99q3A=")</f>
        <v>#REF!</v>
      </c>
      <c r="DJ21" t="e">
        <f>AND(#REF!,"AAAAAH99q3E=")</f>
        <v>#REF!</v>
      </c>
      <c r="DK21" t="e">
        <f>AND(#REF!,"AAAAAH99q3I=")</f>
        <v>#REF!</v>
      </c>
      <c r="DL21" t="e">
        <f>AND(#REF!,"AAAAAH99q3M=")</f>
        <v>#REF!</v>
      </c>
      <c r="DM21" t="e">
        <f>AND(#REF!,"AAAAAH99q3Q=")</f>
        <v>#REF!</v>
      </c>
      <c r="DN21" t="e">
        <f>AND(#REF!,"AAAAAH99q3U=")</f>
        <v>#REF!</v>
      </c>
      <c r="DO21" t="e">
        <f>AND(#REF!,"AAAAAH99q3Y=")</f>
        <v>#REF!</v>
      </c>
      <c r="DP21" t="e">
        <f>AND(#REF!,"AAAAAH99q3c=")</f>
        <v>#REF!</v>
      </c>
      <c r="DQ21" t="e">
        <f>AND(#REF!,"AAAAAH99q3g=")</f>
        <v>#REF!</v>
      </c>
      <c r="DR21" t="e">
        <f>AND(#REF!,"AAAAAH99q3k=")</f>
        <v>#REF!</v>
      </c>
      <c r="DS21" t="e">
        <f>AND(#REF!,"AAAAAH99q3o=")</f>
        <v>#REF!</v>
      </c>
      <c r="DT21" t="e">
        <f>AND(#REF!,"AAAAAH99q3s=")</f>
        <v>#REF!</v>
      </c>
      <c r="DU21" t="e">
        <f>AND(#REF!,"AAAAAH99q3w=")</f>
        <v>#REF!</v>
      </c>
      <c r="DV21" t="e">
        <f>AND(#REF!,"AAAAAH99q30=")</f>
        <v>#REF!</v>
      </c>
      <c r="DW21" t="e">
        <f>AND(#REF!,"AAAAAH99q34=")</f>
        <v>#REF!</v>
      </c>
      <c r="DX21" t="e">
        <f>AND(#REF!,"AAAAAH99q38=")</f>
        <v>#REF!</v>
      </c>
      <c r="DY21" t="e">
        <f>AND(#REF!,"AAAAAH99q4A=")</f>
        <v>#REF!</v>
      </c>
      <c r="DZ21" t="e">
        <f>AND(#REF!,"AAAAAH99q4E=")</f>
        <v>#REF!</v>
      </c>
      <c r="EA21" t="e">
        <f>AND(#REF!,"AAAAAH99q4I=")</f>
        <v>#REF!</v>
      </c>
      <c r="EB21" t="e">
        <f>AND(#REF!,"AAAAAH99q4M=")</f>
        <v>#REF!</v>
      </c>
      <c r="EC21" t="e">
        <f>AND(#REF!,"AAAAAH99q4Q=")</f>
        <v>#REF!</v>
      </c>
      <c r="ED21" t="e">
        <f>AND(#REF!,"AAAAAH99q4U=")</f>
        <v>#REF!</v>
      </c>
      <c r="EE21" t="e">
        <f>AND(#REF!,"AAAAAH99q4Y=")</f>
        <v>#REF!</v>
      </c>
      <c r="EF21" t="e">
        <f>AND(#REF!,"AAAAAH99q4c=")</f>
        <v>#REF!</v>
      </c>
      <c r="EG21" t="e">
        <f>AND(#REF!,"AAAAAH99q4g=")</f>
        <v>#REF!</v>
      </c>
      <c r="EH21" t="e">
        <f>AND(#REF!,"AAAAAH99q4k=")</f>
        <v>#REF!</v>
      </c>
      <c r="EI21" t="e">
        <f>AND(#REF!,"AAAAAH99q4o=")</f>
        <v>#REF!</v>
      </c>
      <c r="EJ21" t="e">
        <f>AND(#REF!,"AAAAAH99q4s=")</f>
        <v>#REF!</v>
      </c>
      <c r="EK21" t="e">
        <f>AND(#REF!,"AAAAAH99q4w=")</f>
        <v>#REF!</v>
      </c>
      <c r="EL21" t="e">
        <f>AND(#REF!,"AAAAAH99q40=")</f>
        <v>#REF!</v>
      </c>
      <c r="EM21" t="e">
        <f>AND(#REF!,"AAAAAH99q44=")</f>
        <v>#REF!</v>
      </c>
      <c r="EN21" t="e">
        <f>AND(#REF!,"AAAAAH99q48=")</f>
        <v>#REF!</v>
      </c>
      <c r="EO21" t="e">
        <f>AND(#REF!,"AAAAAH99q5A=")</f>
        <v>#REF!</v>
      </c>
      <c r="EP21" t="e">
        <f>AND(#REF!,"AAAAAH99q5E=")</f>
        <v>#REF!</v>
      </c>
      <c r="EQ21" t="e">
        <f>AND(#REF!,"AAAAAH99q5I=")</f>
        <v>#REF!</v>
      </c>
      <c r="ER21" t="e">
        <f>AND(#REF!,"AAAAAH99q5M=")</f>
        <v>#REF!</v>
      </c>
      <c r="ES21" t="e">
        <f>AND(#REF!,"AAAAAH99q5Q=")</f>
        <v>#REF!</v>
      </c>
      <c r="ET21" t="e">
        <f>AND(#REF!,"AAAAAH99q5U=")</f>
        <v>#REF!</v>
      </c>
      <c r="EU21" t="e">
        <f>AND(#REF!,"AAAAAH99q5Y=")</f>
        <v>#REF!</v>
      </c>
      <c r="EV21" t="e">
        <f>AND(#REF!,"AAAAAH99q5c=")</f>
        <v>#REF!</v>
      </c>
      <c r="EW21" t="e">
        <f>AND(#REF!,"AAAAAH99q5g=")</f>
        <v>#REF!</v>
      </c>
      <c r="EX21" t="e">
        <f>AND(#REF!,"AAAAAH99q5k=")</f>
        <v>#REF!</v>
      </c>
      <c r="EY21" t="e">
        <f>AND(#REF!,"AAAAAH99q5o=")</f>
        <v>#REF!</v>
      </c>
      <c r="EZ21" t="e">
        <f>AND(#REF!,"AAAAAH99q5s=")</f>
        <v>#REF!</v>
      </c>
      <c r="FA21" t="e">
        <f>AND(#REF!,"AAAAAH99q5w=")</f>
        <v>#REF!</v>
      </c>
      <c r="FB21" t="e">
        <f>AND(#REF!,"AAAAAH99q50=")</f>
        <v>#REF!</v>
      </c>
      <c r="FC21" t="e">
        <f>AND(#REF!,"AAAAAH99q54=")</f>
        <v>#REF!</v>
      </c>
      <c r="FD21" t="e">
        <f>AND(#REF!,"AAAAAH99q58=")</f>
        <v>#REF!</v>
      </c>
      <c r="FE21" t="e">
        <f>AND(#REF!,"AAAAAH99q6A=")</f>
        <v>#REF!</v>
      </c>
      <c r="FF21" t="e">
        <f>AND(#REF!,"AAAAAH99q6E=")</f>
        <v>#REF!</v>
      </c>
      <c r="FG21" t="e">
        <f>AND(#REF!,"AAAAAH99q6I=")</f>
        <v>#REF!</v>
      </c>
      <c r="FH21" t="e">
        <f>AND(#REF!,"AAAAAH99q6M=")</f>
        <v>#REF!</v>
      </c>
      <c r="FI21" t="e">
        <f>AND(#REF!,"AAAAAH99q6Q=")</f>
        <v>#REF!</v>
      </c>
      <c r="FJ21" t="e">
        <f>AND(#REF!,"AAAAAH99q6U=")</f>
        <v>#REF!</v>
      </c>
      <c r="FK21" t="e">
        <f>AND(#REF!,"AAAAAH99q6Y=")</f>
        <v>#REF!</v>
      </c>
      <c r="FL21" t="e">
        <f>AND(#REF!,"AAAAAH99q6c=")</f>
        <v>#REF!</v>
      </c>
      <c r="FM21" t="e">
        <f>AND(#REF!,"AAAAAH99q6g=")</f>
        <v>#REF!</v>
      </c>
      <c r="FN21" t="e">
        <f>AND(#REF!,"AAAAAH99q6k=")</f>
        <v>#REF!</v>
      </c>
      <c r="FO21" t="e">
        <f>AND(#REF!,"AAAAAH99q6o=")</f>
        <v>#REF!</v>
      </c>
      <c r="FP21" t="e">
        <f>AND(#REF!,"AAAAAH99q6s=")</f>
        <v>#REF!</v>
      </c>
      <c r="FQ21" t="e">
        <f>AND(#REF!,"AAAAAH99q6w=")</f>
        <v>#REF!</v>
      </c>
      <c r="FR21" t="e">
        <f>AND(#REF!,"AAAAAH99q60=")</f>
        <v>#REF!</v>
      </c>
      <c r="FS21" t="e">
        <f>AND(#REF!,"AAAAAH99q64=")</f>
        <v>#REF!</v>
      </c>
      <c r="FT21" t="e">
        <f>AND(#REF!,"AAAAAH99q68=")</f>
        <v>#REF!</v>
      </c>
      <c r="FU21" t="e">
        <f>AND(#REF!,"AAAAAH99q7A=")</f>
        <v>#REF!</v>
      </c>
      <c r="FV21" t="e">
        <f>AND(#REF!,"AAAAAH99q7E=")</f>
        <v>#REF!</v>
      </c>
      <c r="FW21" t="e">
        <f>AND(#REF!,"AAAAAH99q7I=")</f>
        <v>#REF!</v>
      </c>
      <c r="FX21" t="e">
        <f>AND(#REF!,"AAAAAH99q7M=")</f>
        <v>#REF!</v>
      </c>
      <c r="FY21" t="e">
        <f>AND(#REF!,"AAAAAH99q7Q=")</f>
        <v>#REF!</v>
      </c>
      <c r="FZ21" t="e">
        <f>AND(#REF!,"AAAAAH99q7U=")</f>
        <v>#REF!</v>
      </c>
      <c r="GA21" t="e">
        <f>AND(#REF!,"AAAAAH99q7Y=")</f>
        <v>#REF!</v>
      </c>
      <c r="GB21" t="e">
        <f>IF(#REF!,"AAAAAH99q7c=",0)</f>
        <v>#REF!</v>
      </c>
      <c r="GC21" t="e">
        <f>AND(#REF!,"AAAAAH99q7g=")</f>
        <v>#REF!</v>
      </c>
      <c r="GD21" t="e">
        <f>AND(#REF!,"AAAAAH99q7k=")</f>
        <v>#REF!</v>
      </c>
      <c r="GE21" t="e">
        <f>AND(#REF!,"AAAAAH99q7o=")</f>
        <v>#REF!</v>
      </c>
      <c r="GF21" t="e">
        <f>AND(#REF!,"AAAAAH99q7s=")</f>
        <v>#REF!</v>
      </c>
      <c r="GG21" t="e">
        <f>AND(#REF!,"AAAAAH99q7w=")</f>
        <v>#REF!</v>
      </c>
      <c r="GH21" t="e">
        <f>AND(#REF!,"AAAAAH99q70=")</f>
        <v>#REF!</v>
      </c>
      <c r="GI21" t="e">
        <f>AND(#REF!,"AAAAAH99q74=")</f>
        <v>#REF!</v>
      </c>
      <c r="GJ21" t="e">
        <f>AND(#REF!,"AAAAAH99q78=")</f>
        <v>#REF!</v>
      </c>
      <c r="GK21" t="e">
        <f>AND(#REF!,"AAAAAH99q8A=")</f>
        <v>#REF!</v>
      </c>
      <c r="GL21" t="e">
        <f>AND(#REF!,"AAAAAH99q8E=")</f>
        <v>#REF!</v>
      </c>
      <c r="GM21" t="e">
        <f>AND(#REF!,"AAAAAH99q8I=")</f>
        <v>#REF!</v>
      </c>
      <c r="GN21" t="e">
        <f>AND(#REF!,"AAAAAH99q8M=")</f>
        <v>#REF!</v>
      </c>
      <c r="GO21" t="e">
        <f>AND(#REF!,"AAAAAH99q8Q=")</f>
        <v>#REF!</v>
      </c>
      <c r="GP21" t="e">
        <f>AND(#REF!,"AAAAAH99q8U=")</f>
        <v>#REF!</v>
      </c>
      <c r="GQ21" t="e">
        <f>AND(#REF!,"AAAAAH99q8Y=")</f>
        <v>#REF!</v>
      </c>
      <c r="GR21" t="e">
        <f>AND(#REF!,"AAAAAH99q8c=")</f>
        <v>#REF!</v>
      </c>
      <c r="GS21" t="e">
        <f>AND(#REF!,"AAAAAH99q8g=")</f>
        <v>#REF!</v>
      </c>
      <c r="GT21" t="e">
        <f>AND(#REF!,"AAAAAH99q8k=")</f>
        <v>#REF!</v>
      </c>
      <c r="GU21" t="e">
        <f>AND(#REF!,"AAAAAH99q8o=")</f>
        <v>#REF!</v>
      </c>
      <c r="GV21" t="e">
        <f>AND(#REF!,"AAAAAH99q8s=")</f>
        <v>#REF!</v>
      </c>
      <c r="GW21" t="e">
        <f>AND(#REF!,"AAAAAH99q8w=")</f>
        <v>#REF!</v>
      </c>
      <c r="GX21" t="e">
        <f>AND(#REF!,"AAAAAH99q80=")</f>
        <v>#REF!</v>
      </c>
      <c r="GY21" t="e">
        <f>AND(#REF!,"AAAAAH99q84=")</f>
        <v>#REF!</v>
      </c>
      <c r="GZ21" t="e">
        <f>AND(#REF!,"AAAAAH99q88=")</f>
        <v>#REF!</v>
      </c>
      <c r="HA21" t="e">
        <f>AND(#REF!,"AAAAAH99q9A=")</f>
        <v>#REF!</v>
      </c>
      <c r="HB21" t="e">
        <f>AND(#REF!,"AAAAAH99q9E=")</f>
        <v>#REF!</v>
      </c>
      <c r="HC21" t="e">
        <f>AND(#REF!,"AAAAAH99q9I=")</f>
        <v>#REF!</v>
      </c>
      <c r="HD21" t="e">
        <f>AND(#REF!,"AAAAAH99q9M=")</f>
        <v>#REF!</v>
      </c>
      <c r="HE21" t="e">
        <f>AND(#REF!,"AAAAAH99q9Q=")</f>
        <v>#REF!</v>
      </c>
      <c r="HF21" t="e">
        <f>AND(#REF!,"AAAAAH99q9U=")</f>
        <v>#REF!</v>
      </c>
      <c r="HG21" t="e">
        <f>AND(#REF!,"AAAAAH99q9Y=")</f>
        <v>#REF!</v>
      </c>
      <c r="HH21" t="e">
        <f>AND(#REF!,"AAAAAH99q9c=")</f>
        <v>#REF!</v>
      </c>
      <c r="HI21" t="e">
        <f>AND(#REF!,"AAAAAH99q9g=")</f>
        <v>#REF!</v>
      </c>
      <c r="HJ21" t="e">
        <f>AND(#REF!,"AAAAAH99q9k=")</f>
        <v>#REF!</v>
      </c>
      <c r="HK21" t="e">
        <f>AND(#REF!,"AAAAAH99q9o=")</f>
        <v>#REF!</v>
      </c>
      <c r="HL21" t="e">
        <f>AND(#REF!,"AAAAAH99q9s=")</f>
        <v>#REF!</v>
      </c>
      <c r="HM21" t="e">
        <f>AND(#REF!,"AAAAAH99q9w=")</f>
        <v>#REF!</v>
      </c>
      <c r="HN21" t="e">
        <f>AND(#REF!,"AAAAAH99q90=")</f>
        <v>#REF!</v>
      </c>
      <c r="HO21" t="e">
        <f>AND(#REF!,"AAAAAH99q94=")</f>
        <v>#REF!</v>
      </c>
      <c r="HP21" t="e">
        <f>AND(#REF!,"AAAAAH99q98=")</f>
        <v>#REF!</v>
      </c>
      <c r="HQ21" t="e">
        <f>AND(#REF!,"AAAAAH99q+A=")</f>
        <v>#REF!</v>
      </c>
      <c r="HR21" t="e">
        <f>AND(#REF!,"AAAAAH99q+E=")</f>
        <v>#REF!</v>
      </c>
      <c r="HS21" t="e">
        <f>AND(#REF!,"AAAAAH99q+I=")</f>
        <v>#REF!</v>
      </c>
      <c r="HT21" t="e">
        <f>AND(#REF!,"AAAAAH99q+M=")</f>
        <v>#REF!</v>
      </c>
      <c r="HU21" t="e">
        <f>AND(#REF!,"AAAAAH99q+Q=")</f>
        <v>#REF!</v>
      </c>
      <c r="HV21" t="e">
        <f>AND(#REF!,"AAAAAH99q+U=")</f>
        <v>#REF!</v>
      </c>
      <c r="HW21" t="e">
        <f>AND(#REF!,"AAAAAH99q+Y=")</f>
        <v>#REF!</v>
      </c>
      <c r="HX21" t="e">
        <f>AND(#REF!,"AAAAAH99q+c=")</f>
        <v>#REF!</v>
      </c>
      <c r="HY21" t="e">
        <f>AND(#REF!,"AAAAAH99q+g=")</f>
        <v>#REF!</v>
      </c>
      <c r="HZ21" t="e">
        <f>AND(#REF!,"AAAAAH99q+k=")</f>
        <v>#REF!</v>
      </c>
      <c r="IA21" t="e">
        <f>AND(#REF!,"AAAAAH99q+o=")</f>
        <v>#REF!</v>
      </c>
      <c r="IB21" t="e">
        <f>AND(#REF!,"AAAAAH99q+s=")</f>
        <v>#REF!</v>
      </c>
      <c r="IC21" t="e">
        <f>AND(#REF!,"AAAAAH99q+w=")</f>
        <v>#REF!</v>
      </c>
      <c r="ID21" t="e">
        <f>AND(#REF!,"AAAAAH99q+0=")</f>
        <v>#REF!</v>
      </c>
      <c r="IE21" t="e">
        <f>AND(#REF!,"AAAAAH99q+4=")</f>
        <v>#REF!</v>
      </c>
      <c r="IF21" t="e">
        <f>AND(#REF!,"AAAAAH99q+8=")</f>
        <v>#REF!</v>
      </c>
      <c r="IG21" t="e">
        <f>AND(#REF!,"AAAAAH99q/A=")</f>
        <v>#REF!</v>
      </c>
      <c r="IH21" t="e">
        <f>AND(#REF!,"AAAAAH99q/E=")</f>
        <v>#REF!</v>
      </c>
      <c r="II21" t="e">
        <f>AND(#REF!,"AAAAAH99q/I=")</f>
        <v>#REF!</v>
      </c>
      <c r="IJ21" t="e">
        <f>AND(#REF!,"AAAAAH99q/M=")</f>
        <v>#REF!</v>
      </c>
      <c r="IK21" t="e">
        <f>AND(#REF!,"AAAAAH99q/Q=")</f>
        <v>#REF!</v>
      </c>
      <c r="IL21" t="e">
        <f>AND(#REF!,"AAAAAH99q/U=")</f>
        <v>#REF!</v>
      </c>
      <c r="IM21" t="e">
        <f>AND(#REF!,"AAAAAH99q/Y=")</f>
        <v>#REF!</v>
      </c>
      <c r="IN21" t="e">
        <f>AND(#REF!,"AAAAAH99q/c=")</f>
        <v>#REF!</v>
      </c>
      <c r="IO21" t="e">
        <f>AND(#REF!,"AAAAAH99q/g=")</f>
        <v>#REF!</v>
      </c>
      <c r="IP21" t="e">
        <f>AND(#REF!,"AAAAAH99q/k=")</f>
        <v>#REF!</v>
      </c>
      <c r="IQ21" t="e">
        <f>AND(#REF!,"AAAAAH99q/o=")</f>
        <v>#REF!</v>
      </c>
      <c r="IR21" t="e">
        <f>AND(#REF!,"AAAAAH99q/s=")</f>
        <v>#REF!</v>
      </c>
      <c r="IS21" t="e">
        <f>AND(#REF!,"AAAAAH99q/w=")</f>
        <v>#REF!</v>
      </c>
      <c r="IT21" t="e">
        <f>AND(#REF!,"AAAAAH99q/0=")</f>
        <v>#REF!</v>
      </c>
      <c r="IU21" t="e">
        <f>AND(#REF!,"AAAAAH99q/4=")</f>
        <v>#REF!</v>
      </c>
      <c r="IV21" t="e">
        <f>AND(#REF!,"AAAAAH99q/8=")</f>
        <v>#REF!</v>
      </c>
    </row>
    <row r="22" spans="1:256" ht="15">
      <c r="A22" t="e">
        <f>AND(#REF!,"AAAAAH+//QA=")</f>
        <v>#REF!</v>
      </c>
      <c r="B22" t="e">
        <f>AND(#REF!,"AAAAAH+//QE=")</f>
        <v>#REF!</v>
      </c>
      <c r="C22" t="e">
        <f>AND(#REF!,"AAAAAH+//QI=")</f>
        <v>#REF!</v>
      </c>
      <c r="D22" t="e">
        <f>AND(#REF!,"AAAAAH+//QM=")</f>
        <v>#REF!</v>
      </c>
      <c r="E22" t="e">
        <f>AND(#REF!,"AAAAAH+//QQ=")</f>
        <v>#REF!</v>
      </c>
      <c r="F22" t="e">
        <f>AND(#REF!,"AAAAAH+//QU=")</f>
        <v>#REF!</v>
      </c>
      <c r="G22" t="e">
        <f>AND(#REF!,"AAAAAH+//QY=")</f>
        <v>#REF!</v>
      </c>
      <c r="H22" t="e">
        <f>AND(#REF!,"AAAAAH+//Qc=")</f>
        <v>#REF!</v>
      </c>
      <c r="I22" t="e">
        <f>AND(#REF!,"AAAAAH+//Qg=")</f>
        <v>#REF!</v>
      </c>
      <c r="J22" t="e">
        <f>AND(#REF!,"AAAAAH+//Qk=")</f>
        <v>#REF!</v>
      </c>
      <c r="K22" t="e">
        <f>AND(#REF!,"AAAAAH+//Qo=")</f>
        <v>#REF!</v>
      </c>
      <c r="L22" t="e">
        <f>AND(#REF!,"AAAAAH+//Qs=")</f>
        <v>#REF!</v>
      </c>
      <c r="M22" t="e">
        <f>AND(#REF!,"AAAAAH+//Qw=")</f>
        <v>#REF!</v>
      </c>
      <c r="N22" t="e">
        <f>AND(#REF!,"AAAAAH+//Q0=")</f>
        <v>#REF!</v>
      </c>
      <c r="O22" t="e">
        <f>AND(#REF!,"AAAAAH+//Q4=")</f>
        <v>#REF!</v>
      </c>
      <c r="P22" t="e">
        <f>AND(#REF!,"AAAAAH+//Q8=")</f>
        <v>#REF!</v>
      </c>
      <c r="Q22" t="e">
        <f>AND(#REF!,"AAAAAH+//RA=")</f>
        <v>#REF!</v>
      </c>
      <c r="R22" t="e">
        <f>AND(#REF!,"AAAAAH+//RE=")</f>
        <v>#REF!</v>
      </c>
      <c r="S22" t="e">
        <f>AND(#REF!,"AAAAAH+//RI=")</f>
        <v>#REF!</v>
      </c>
      <c r="T22" t="e">
        <f>AND(#REF!,"AAAAAH+//RM=")</f>
        <v>#REF!</v>
      </c>
      <c r="U22" t="e">
        <f>AND(#REF!,"AAAAAH+//RQ=")</f>
        <v>#REF!</v>
      </c>
      <c r="V22" t="e">
        <f>AND(#REF!,"AAAAAH+//RU=")</f>
        <v>#REF!</v>
      </c>
      <c r="W22" t="e">
        <f>AND(#REF!,"AAAAAH+//RY=")</f>
        <v>#REF!</v>
      </c>
      <c r="X22" t="e">
        <f>AND(#REF!,"AAAAAH+//Rc=")</f>
        <v>#REF!</v>
      </c>
      <c r="Y22" t="e">
        <f>AND(#REF!,"AAAAAH+//Rg=")</f>
        <v>#REF!</v>
      </c>
      <c r="Z22" t="e">
        <f>AND(#REF!,"AAAAAH+//Rk=")</f>
        <v>#REF!</v>
      </c>
      <c r="AA22" t="e">
        <f>AND(#REF!,"AAAAAH+//Ro=")</f>
        <v>#REF!</v>
      </c>
      <c r="AB22" t="e">
        <f>AND(#REF!,"AAAAAH+//Rs=")</f>
        <v>#REF!</v>
      </c>
      <c r="AC22" t="e">
        <f>AND(#REF!,"AAAAAH+//Rw=")</f>
        <v>#REF!</v>
      </c>
      <c r="AD22" t="e">
        <f>AND(#REF!,"AAAAAH+//R0=")</f>
        <v>#REF!</v>
      </c>
      <c r="AE22" t="e">
        <f>AND(#REF!,"AAAAAH+//R4=")</f>
        <v>#REF!</v>
      </c>
      <c r="AF22" t="e">
        <f>AND(#REF!,"AAAAAH+//R8=")</f>
        <v>#REF!</v>
      </c>
      <c r="AG22" t="e">
        <f>AND(#REF!,"AAAAAH+//SA=")</f>
        <v>#REF!</v>
      </c>
      <c r="AH22" t="e">
        <f>AND(#REF!,"AAAAAH+//SE=")</f>
        <v>#REF!</v>
      </c>
      <c r="AI22" t="e">
        <f>AND(#REF!,"AAAAAH+//SI=")</f>
        <v>#REF!</v>
      </c>
      <c r="AJ22" t="e">
        <f>AND(#REF!,"AAAAAH+//SM=")</f>
        <v>#REF!</v>
      </c>
      <c r="AK22" t="e">
        <f>AND(#REF!,"AAAAAH+//SQ=")</f>
        <v>#REF!</v>
      </c>
      <c r="AL22" t="e">
        <f>AND(#REF!,"AAAAAH+//SU=")</f>
        <v>#REF!</v>
      </c>
      <c r="AM22" t="e">
        <f>AND(#REF!,"AAAAAH+//SY=")</f>
        <v>#REF!</v>
      </c>
      <c r="AN22" t="e">
        <f>AND(#REF!,"AAAAAH+//Sc=")</f>
        <v>#REF!</v>
      </c>
      <c r="AO22" t="e">
        <f>AND(#REF!,"AAAAAH+//Sg=")</f>
        <v>#REF!</v>
      </c>
      <c r="AP22" t="e">
        <f>AND(#REF!,"AAAAAH+//Sk=")</f>
        <v>#REF!</v>
      </c>
      <c r="AQ22" t="e">
        <f>AND(#REF!,"AAAAAH+//So=")</f>
        <v>#REF!</v>
      </c>
      <c r="AR22" t="e">
        <f>AND(#REF!,"AAAAAH+//Ss=")</f>
        <v>#REF!</v>
      </c>
      <c r="AS22" t="e">
        <f>AND(#REF!,"AAAAAH+//Sw=")</f>
        <v>#REF!</v>
      </c>
      <c r="AT22" t="e">
        <f>AND(#REF!,"AAAAAH+//S0=")</f>
        <v>#REF!</v>
      </c>
      <c r="AU22" t="e">
        <f>AND(#REF!,"AAAAAH+//S4=")</f>
        <v>#REF!</v>
      </c>
      <c r="AV22" t="e">
        <f>AND(#REF!,"AAAAAH+//S8=")</f>
        <v>#REF!</v>
      </c>
      <c r="AW22" t="e">
        <f>AND(#REF!,"AAAAAH+//TA=")</f>
        <v>#REF!</v>
      </c>
      <c r="AX22" t="e">
        <f>AND(#REF!,"AAAAAH+//TE=")</f>
        <v>#REF!</v>
      </c>
      <c r="AY22" t="e">
        <f>AND(#REF!,"AAAAAH+//TI=")</f>
        <v>#REF!</v>
      </c>
      <c r="AZ22" t="e">
        <f>AND(#REF!,"AAAAAH+//TM=")</f>
        <v>#REF!</v>
      </c>
      <c r="BA22" t="e">
        <f>AND(#REF!,"AAAAAH+//TQ=")</f>
        <v>#REF!</v>
      </c>
      <c r="BB22" t="e">
        <f>AND(#REF!,"AAAAAH+//TU=")</f>
        <v>#REF!</v>
      </c>
      <c r="BC22" t="e">
        <f>AND(#REF!,"AAAAAH+//TY=")</f>
        <v>#REF!</v>
      </c>
      <c r="BD22" t="e">
        <f>AND(#REF!,"AAAAAH+//Tc=")</f>
        <v>#REF!</v>
      </c>
      <c r="BE22" t="e">
        <f>AND(#REF!,"AAAAAH+//Tg=")</f>
        <v>#REF!</v>
      </c>
      <c r="BF22" t="e">
        <f>AND(#REF!,"AAAAAH+//Tk=")</f>
        <v>#REF!</v>
      </c>
      <c r="BG22" t="e">
        <f>AND(#REF!,"AAAAAH+//To=")</f>
        <v>#REF!</v>
      </c>
      <c r="BH22" t="e">
        <f>AND(#REF!,"AAAAAH+//Ts=")</f>
        <v>#REF!</v>
      </c>
      <c r="BI22" t="e">
        <f>AND(#REF!,"AAAAAH+//Tw=")</f>
        <v>#REF!</v>
      </c>
      <c r="BJ22" t="e">
        <f>AND(#REF!,"AAAAAH+//T0=")</f>
        <v>#REF!</v>
      </c>
      <c r="BK22" t="e">
        <f>AND(#REF!,"AAAAAH+//T4=")</f>
        <v>#REF!</v>
      </c>
      <c r="BL22" t="e">
        <f>IF(#REF!,"AAAAAH+//T8=",0)</f>
        <v>#REF!</v>
      </c>
      <c r="BM22" t="e">
        <f>AND(#REF!,"AAAAAH+//UA=")</f>
        <v>#REF!</v>
      </c>
      <c r="BN22" t="e">
        <f>AND(#REF!,"AAAAAH+//UE=")</f>
        <v>#REF!</v>
      </c>
      <c r="BO22" t="e">
        <f>AND(#REF!,"AAAAAH+//UI=")</f>
        <v>#REF!</v>
      </c>
      <c r="BP22" t="e">
        <f>AND(#REF!,"AAAAAH+//UM=")</f>
        <v>#REF!</v>
      </c>
      <c r="BQ22" t="e">
        <f>AND(#REF!,"AAAAAH+//UQ=")</f>
        <v>#REF!</v>
      </c>
      <c r="BR22" t="e">
        <f>AND(#REF!,"AAAAAH+//UU=")</f>
        <v>#REF!</v>
      </c>
      <c r="BS22" t="e">
        <f>AND(#REF!,"AAAAAH+//UY=")</f>
        <v>#REF!</v>
      </c>
      <c r="BT22" t="e">
        <f>AND(#REF!,"AAAAAH+//Uc=")</f>
        <v>#REF!</v>
      </c>
      <c r="BU22" t="e">
        <f>AND(#REF!,"AAAAAH+//Ug=")</f>
        <v>#REF!</v>
      </c>
      <c r="BV22" t="e">
        <f>AND(#REF!,"AAAAAH+//Uk=")</f>
        <v>#REF!</v>
      </c>
      <c r="BW22" t="e">
        <f>AND(#REF!,"AAAAAH+//Uo=")</f>
        <v>#REF!</v>
      </c>
      <c r="BX22" t="e">
        <f>AND(#REF!,"AAAAAH+//Us=")</f>
        <v>#REF!</v>
      </c>
      <c r="BY22" t="e">
        <f>AND(#REF!,"AAAAAH+//Uw=")</f>
        <v>#REF!</v>
      </c>
      <c r="BZ22" t="e">
        <f>AND(#REF!,"AAAAAH+//U0=")</f>
        <v>#REF!</v>
      </c>
      <c r="CA22" t="e">
        <f>AND(#REF!,"AAAAAH+//U4=")</f>
        <v>#REF!</v>
      </c>
      <c r="CB22" t="e">
        <f>AND(#REF!,"AAAAAH+//U8=")</f>
        <v>#REF!</v>
      </c>
      <c r="CC22" t="e">
        <f>AND(#REF!,"AAAAAH+//VA=")</f>
        <v>#REF!</v>
      </c>
      <c r="CD22" t="e">
        <f>AND(#REF!,"AAAAAH+//VE=")</f>
        <v>#REF!</v>
      </c>
      <c r="CE22" t="e">
        <f>AND(#REF!,"AAAAAH+//VI=")</f>
        <v>#REF!</v>
      </c>
      <c r="CF22" t="e">
        <f>AND(#REF!,"AAAAAH+//VM=")</f>
        <v>#REF!</v>
      </c>
      <c r="CG22" t="e">
        <f>AND(#REF!,"AAAAAH+//VQ=")</f>
        <v>#REF!</v>
      </c>
      <c r="CH22" t="e">
        <f>AND(#REF!,"AAAAAH+//VU=")</f>
        <v>#REF!</v>
      </c>
      <c r="CI22" t="e">
        <f>AND(#REF!,"AAAAAH+//VY=")</f>
        <v>#REF!</v>
      </c>
      <c r="CJ22" t="e">
        <f>AND(#REF!,"AAAAAH+//Vc=")</f>
        <v>#REF!</v>
      </c>
      <c r="CK22" t="e">
        <f>AND(#REF!,"AAAAAH+//Vg=")</f>
        <v>#REF!</v>
      </c>
      <c r="CL22" t="e">
        <f>AND(#REF!,"AAAAAH+//Vk=")</f>
        <v>#REF!</v>
      </c>
      <c r="CM22" t="e">
        <f>AND(#REF!,"AAAAAH+//Vo=")</f>
        <v>#REF!</v>
      </c>
      <c r="CN22" t="e">
        <f>AND(#REF!,"AAAAAH+//Vs=")</f>
        <v>#REF!</v>
      </c>
      <c r="CO22" t="e">
        <f>AND(#REF!,"AAAAAH+//Vw=")</f>
        <v>#REF!</v>
      </c>
      <c r="CP22" t="e">
        <f>AND(#REF!,"AAAAAH+//V0=")</f>
        <v>#REF!</v>
      </c>
      <c r="CQ22" t="e">
        <f>AND(#REF!,"AAAAAH+//V4=")</f>
        <v>#REF!</v>
      </c>
      <c r="CR22" t="e">
        <f>AND(#REF!,"AAAAAH+//V8=")</f>
        <v>#REF!</v>
      </c>
      <c r="CS22" t="e">
        <f>AND(#REF!,"AAAAAH+//WA=")</f>
        <v>#REF!</v>
      </c>
      <c r="CT22" t="e">
        <f>AND(#REF!,"AAAAAH+//WE=")</f>
        <v>#REF!</v>
      </c>
      <c r="CU22" t="e">
        <f>AND(#REF!,"AAAAAH+//WI=")</f>
        <v>#REF!</v>
      </c>
      <c r="CV22" t="e">
        <f>AND(#REF!,"AAAAAH+//WM=")</f>
        <v>#REF!</v>
      </c>
      <c r="CW22" t="e">
        <f>AND(#REF!,"AAAAAH+//WQ=")</f>
        <v>#REF!</v>
      </c>
      <c r="CX22" t="e">
        <f>AND(#REF!,"AAAAAH+//WU=")</f>
        <v>#REF!</v>
      </c>
      <c r="CY22" t="e">
        <f>AND(#REF!,"AAAAAH+//WY=")</f>
        <v>#REF!</v>
      </c>
      <c r="CZ22" t="e">
        <f>AND(#REF!,"AAAAAH+//Wc=")</f>
        <v>#REF!</v>
      </c>
      <c r="DA22" t="e">
        <f>AND(#REF!,"AAAAAH+//Wg=")</f>
        <v>#REF!</v>
      </c>
      <c r="DB22" t="e">
        <f>AND(#REF!,"AAAAAH+//Wk=")</f>
        <v>#REF!</v>
      </c>
      <c r="DC22" t="e">
        <f>AND(#REF!,"AAAAAH+//Wo=")</f>
        <v>#REF!</v>
      </c>
      <c r="DD22" t="e">
        <f>AND(#REF!,"AAAAAH+//Ws=")</f>
        <v>#REF!</v>
      </c>
      <c r="DE22" t="e">
        <f>AND(#REF!,"AAAAAH+//Ww=")</f>
        <v>#REF!</v>
      </c>
      <c r="DF22" t="e">
        <f>AND(#REF!,"AAAAAH+//W0=")</f>
        <v>#REF!</v>
      </c>
      <c r="DG22" t="e">
        <f>AND(#REF!,"AAAAAH+//W4=")</f>
        <v>#REF!</v>
      </c>
      <c r="DH22" t="e">
        <f>AND(#REF!,"AAAAAH+//W8=")</f>
        <v>#REF!</v>
      </c>
      <c r="DI22" t="e">
        <f>AND(#REF!,"AAAAAH+//XA=")</f>
        <v>#REF!</v>
      </c>
      <c r="DJ22" t="e">
        <f>AND(#REF!,"AAAAAH+//XE=")</f>
        <v>#REF!</v>
      </c>
      <c r="DK22" t="e">
        <f>AND(#REF!,"AAAAAH+//XI=")</f>
        <v>#REF!</v>
      </c>
      <c r="DL22" t="e">
        <f>AND(#REF!,"AAAAAH+//XM=")</f>
        <v>#REF!</v>
      </c>
      <c r="DM22" t="e">
        <f>AND(#REF!,"AAAAAH+//XQ=")</f>
        <v>#REF!</v>
      </c>
      <c r="DN22" t="e">
        <f>AND(#REF!,"AAAAAH+//XU=")</f>
        <v>#REF!</v>
      </c>
      <c r="DO22" t="e">
        <f>AND(#REF!,"AAAAAH+//XY=")</f>
        <v>#REF!</v>
      </c>
      <c r="DP22" t="e">
        <f>AND(#REF!,"AAAAAH+//Xc=")</f>
        <v>#REF!</v>
      </c>
      <c r="DQ22" t="e">
        <f>AND(#REF!,"AAAAAH+//Xg=")</f>
        <v>#REF!</v>
      </c>
      <c r="DR22" t="e">
        <f>AND(#REF!,"AAAAAH+//Xk=")</f>
        <v>#REF!</v>
      </c>
      <c r="DS22" t="e">
        <f>AND(#REF!,"AAAAAH+//Xo=")</f>
        <v>#REF!</v>
      </c>
      <c r="DT22" t="e">
        <f>AND(#REF!,"AAAAAH+//Xs=")</f>
        <v>#REF!</v>
      </c>
      <c r="DU22" t="e">
        <f>AND(#REF!,"AAAAAH+//Xw=")</f>
        <v>#REF!</v>
      </c>
      <c r="DV22" t="e">
        <f>AND(#REF!,"AAAAAH+//X0=")</f>
        <v>#REF!</v>
      </c>
      <c r="DW22" t="e">
        <f>AND(#REF!,"AAAAAH+//X4=")</f>
        <v>#REF!</v>
      </c>
      <c r="DX22" t="e">
        <f>AND(#REF!,"AAAAAH+//X8=")</f>
        <v>#REF!</v>
      </c>
      <c r="DY22" t="e">
        <f>AND(#REF!,"AAAAAH+//YA=")</f>
        <v>#REF!</v>
      </c>
      <c r="DZ22" t="e">
        <f>AND(#REF!,"AAAAAH+//YE=")</f>
        <v>#REF!</v>
      </c>
      <c r="EA22" t="e">
        <f>AND(#REF!,"AAAAAH+//YI=")</f>
        <v>#REF!</v>
      </c>
      <c r="EB22" t="e">
        <f>AND(#REF!,"AAAAAH+//YM=")</f>
        <v>#REF!</v>
      </c>
      <c r="EC22" t="e">
        <f>AND(#REF!,"AAAAAH+//YQ=")</f>
        <v>#REF!</v>
      </c>
      <c r="ED22" t="e">
        <f>AND(#REF!,"AAAAAH+//YU=")</f>
        <v>#REF!</v>
      </c>
      <c r="EE22" t="e">
        <f>AND(#REF!,"AAAAAH+//YY=")</f>
        <v>#REF!</v>
      </c>
      <c r="EF22" t="e">
        <f>AND(#REF!,"AAAAAH+//Yc=")</f>
        <v>#REF!</v>
      </c>
      <c r="EG22" t="e">
        <f>AND(#REF!,"AAAAAH+//Yg=")</f>
        <v>#REF!</v>
      </c>
      <c r="EH22" t="e">
        <f>AND(#REF!,"AAAAAH+//Yk=")</f>
        <v>#REF!</v>
      </c>
      <c r="EI22" t="e">
        <f>AND(#REF!,"AAAAAH+//Yo=")</f>
        <v>#REF!</v>
      </c>
      <c r="EJ22" t="e">
        <f>AND(#REF!,"AAAAAH+//Ys=")</f>
        <v>#REF!</v>
      </c>
      <c r="EK22" t="e">
        <f>AND(#REF!,"AAAAAH+//Yw=")</f>
        <v>#REF!</v>
      </c>
      <c r="EL22" t="e">
        <f>AND(#REF!,"AAAAAH+//Y0=")</f>
        <v>#REF!</v>
      </c>
      <c r="EM22" t="e">
        <f>AND(#REF!,"AAAAAH+//Y4=")</f>
        <v>#REF!</v>
      </c>
      <c r="EN22" t="e">
        <f>AND(#REF!,"AAAAAH+//Y8=")</f>
        <v>#REF!</v>
      </c>
      <c r="EO22" t="e">
        <f>AND(#REF!,"AAAAAH+//ZA=")</f>
        <v>#REF!</v>
      </c>
      <c r="EP22" t="e">
        <f>AND(#REF!,"AAAAAH+//ZE=")</f>
        <v>#REF!</v>
      </c>
      <c r="EQ22" t="e">
        <f>AND(#REF!,"AAAAAH+//ZI=")</f>
        <v>#REF!</v>
      </c>
      <c r="ER22" t="e">
        <f>AND(#REF!,"AAAAAH+//ZM=")</f>
        <v>#REF!</v>
      </c>
      <c r="ES22" t="e">
        <f>AND(#REF!,"AAAAAH+//ZQ=")</f>
        <v>#REF!</v>
      </c>
      <c r="ET22" t="e">
        <f>AND(#REF!,"AAAAAH+//ZU=")</f>
        <v>#REF!</v>
      </c>
      <c r="EU22" t="e">
        <f>AND(#REF!,"AAAAAH+//ZY=")</f>
        <v>#REF!</v>
      </c>
      <c r="EV22" t="e">
        <f>AND(#REF!,"AAAAAH+//Zc=")</f>
        <v>#REF!</v>
      </c>
      <c r="EW22" t="e">
        <f>AND(#REF!,"AAAAAH+//Zg=")</f>
        <v>#REF!</v>
      </c>
      <c r="EX22" t="e">
        <f>AND(#REF!,"AAAAAH+//Zk=")</f>
        <v>#REF!</v>
      </c>
      <c r="EY22" t="e">
        <f>AND(#REF!,"AAAAAH+//Zo=")</f>
        <v>#REF!</v>
      </c>
      <c r="EZ22" t="e">
        <f>AND(#REF!,"AAAAAH+//Zs=")</f>
        <v>#REF!</v>
      </c>
      <c r="FA22" t="e">
        <f>AND(#REF!,"AAAAAH+//Zw=")</f>
        <v>#REF!</v>
      </c>
      <c r="FB22" t="e">
        <f>AND(#REF!,"AAAAAH+//Z0=")</f>
        <v>#REF!</v>
      </c>
      <c r="FC22" t="e">
        <f>AND(#REF!,"AAAAAH+//Z4=")</f>
        <v>#REF!</v>
      </c>
      <c r="FD22" t="e">
        <f>AND(#REF!,"AAAAAH+//Z8=")</f>
        <v>#REF!</v>
      </c>
      <c r="FE22" t="e">
        <f>AND(#REF!,"AAAAAH+//aA=")</f>
        <v>#REF!</v>
      </c>
      <c r="FF22" t="e">
        <f>AND(#REF!,"AAAAAH+//aE=")</f>
        <v>#REF!</v>
      </c>
      <c r="FG22" t="e">
        <f>AND(#REF!,"AAAAAH+//aI=")</f>
        <v>#REF!</v>
      </c>
      <c r="FH22" t="e">
        <f>AND(#REF!,"AAAAAH+//aM=")</f>
        <v>#REF!</v>
      </c>
      <c r="FI22" t="e">
        <f>AND(#REF!,"AAAAAH+//aQ=")</f>
        <v>#REF!</v>
      </c>
      <c r="FJ22" t="e">
        <f>AND(#REF!,"AAAAAH+//aU=")</f>
        <v>#REF!</v>
      </c>
      <c r="FK22" t="e">
        <f>AND(#REF!,"AAAAAH+//aY=")</f>
        <v>#REF!</v>
      </c>
      <c r="FL22" t="e">
        <f>AND(#REF!,"AAAAAH+//ac=")</f>
        <v>#REF!</v>
      </c>
      <c r="FM22" t="e">
        <f>AND(#REF!,"AAAAAH+//ag=")</f>
        <v>#REF!</v>
      </c>
      <c r="FN22" t="e">
        <f>AND(#REF!,"AAAAAH+//ak=")</f>
        <v>#REF!</v>
      </c>
      <c r="FO22" t="e">
        <f>AND(#REF!,"AAAAAH+//ao=")</f>
        <v>#REF!</v>
      </c>
      <c r="FP22" t="e">
        <f>AND(#REF!,"AAAAAH+//as=")</f>
        <v>#REF!</v>
      </c>
      <c r="FQ22" t="e">
        <f>AND(#REF!,"AAAAAH+//aw=")</f>
        <v>#REF!</v>
      </c>
      <c r="FR22" t="e">
        <f>AND(#REF!,"AAAAAH+//a0=")</f>
        <v>#REF!</v>
      </c>
      <c r="FS22" t="e">
        <f>AND(#REF!,"AAAAAH+//a4=")</f>
        <v>#REF!</v>
      </c>
      <c r="FT22" t="e">
        <f>AND(#REF!,"AAAAAH+//a8=")</f>
        <v>#REF!</v>
      </c>
      <c r="FU22" t="e">
        <f>AND(#REF!,"AAAAAH+//bA=")</f>
        <v>#REF!</v>
      </c>
      <c r="FV22" t="e">
        <f>AND(#REF!,"AAAAAH+//bE=")</f>
        <v>#REF!</v>
      </c>
      <c r="FW22" t="e">
        <f>AND(#REF!,"AAAAAH+//bI=")</f>
        <v>#REF!</v>
      </c>
      <c r="FX22" t="e">
        <f>AND(#REF!,"AAAAAH+//bM=")</f>
        <v>#REF!</v>
      </c>
      <c r="FY22" t="e">
        <f>AND(#REF!,"AAAAAH+//bQ=")</f>
        <v>#REF!</v>
      </c>
      <c r="FZ22" t="e">
        <f>AND(#REF!,"AAAAAH+//bU=")</f>
        <v>#REF!</v>
      </c>
      <c r="GA22" t="e">
        <f>AND(#REF!,"AAAAAH+//bY=")</f>
        <v>#REF!</v>
      </c>
      <c r="GB22" t="e">
        <f>AND(#REF!,"AAAAAH+//bc=")</f>
        <v>#REF!</v>
      </c>
      <c r="GC22" t="e">
        <f>AND(#REF!,"AAAAAH+//bg=")</f>
        <v>#REF!</v>
      </c>
      <c r="GD22" t="e">
        <f>AND(#REF!,"AAAAAH+//bk=")</f>
        <v>#REF!</v>
      </c>
      <c r="GE22" t="e">
        <f>AND(#REF!,"AAAAAH+//bo=")</f>
        <v>#REF!</v>
      </c>
      <c r="GF22" t="e">
        <f>AND(#REF!,"AAAAAH+//bs=")</f>
        <v>#REF!</v>
      </c>
      <c r="GG22" t="e">
        <f>AND(#REF!,"AAAAAH+//bw=")</f>
        <v>#REF!</v>
      </c>
      <c r="GH22" t="e">
        <f>AND(#REF!,"AAAAAH+//b0=")</f>
        <v>#REF!</v>
      </c>
      <c r="GI22" t="e">
        <f>AND(#REF!,"AAAAAH+//b4=")</f>
        <v>#REF!</v>
      </c>
      <c r="GJ22" t="e">
        <f>AND(#REF!,"AAAAAH+//b8=")</f>
        <v>#REF!</v>
      </c>
      <c r="GK22" t="e">
        <f>AND(#REF!,"AAAAAH+//cA=")</f>
        <v>#REF!</v>
      </c>
      <c r="GL22" t="e">
        <f>AND(#REF!,"AAAAAH+//cE=")</f>
        <v>#REF!</v>
      </c>
      <c r="GM22" t="e">
        <f>AND(#REF!,"AAAAAH+//cI=")</f>
        <v>#REF!</v>
      </c>
      <c r="GN22" t="e">
        <f>AND(#REF!,"AAAAAH+//cM=")</f>
        <v>#REF!</v>
      </c>
      <c r="GO22" t="e">
        <f>AND(#REF!,"AAAAAH+//cQ=")</f>
        <v>#REF!</v>
      </c>
      <c r="GP22" t="e">
        <f>AND(#REF!,"AAAAAH+//cU=")</f>
        <v>#REF!</v>
      </c>
      <c r="GQ22" t="e">
        <f>AND(#REF!,"AAAAAH+//cY=")</f>
        <v>#REF!</v>
      </c>
      <c r="GR22" t="e">
        <f>IF(#REF!,"AAAAAH+//cc=",0)</f>
        <v>#REF!</v>
      </c>
      <c r="GS22" t="e">
        <f>AND(#REF!,"AAAAAH+//cg=")</f>
        <v>#REF!</v>
      </c>
      <c r="GT22" t="e">
        <f>AND(#REF!,"AAAAAH+//ck=")</f>
        <v>#REF!</v>
      </c>
      <c r="GU22" t="e">
        <f>AND(#REF!,"AAAAAH+//co=")</f>
        <v>#REF!</v>
      </c>
      <c r="GV22" t="e">
        <f>AND(#REF!,"AAAAAH+//cs=")</f>
        <v>#REF!</v>
      </c>
      <c r="GW22" t="e">
        <f>AND(#REF!,"AAAAAH+//cw=")</f>
        <v>#REF!</v>
      </c>
      <c r="GX22" t="e">
        <f>AND(#REF!,"AAAAAH+//c0=")</f>
        <v>#REF!</v>
      </c>
      <c r="GY22" t="e">
        <f>AND(#REF!,"AAAAAH+//c4=")</f>
        <v>#REF!</v>
      </c>
      <c r="GZ22" t="e">
        <f>AND(#REF!,"AAAAAH+//c8=")</f>
        <v>#REF!</v>
      </c>
      <c r="HA22" t="e">
        <f>AND(#REF!,"AAAAAH+//dA=")</f>
        <v>#REF!</v>
      </c>
      <c r="HB22" t="e">
        <f>AND(#REF!,"AAAAAH+//dE=")</f>
        <v>#REF!</v>
      </c>
      <c r="HC22" t="e">
        <f>AND(#REF!,"AAAAAH+//dI=")</f>
        <v>#REF!</v>
      </c>
      <c r="HD22" t="e">
        <f>AND(#REF!,"AAAAAH+//dM=")</f>
        <v>#REF!</v>
      </c>
      <c r="HE22" t="e">
        <f>AND(#REF!,"AAAAAH+//dQ=")</f>
        <v>#REF!</v>
      </c>
      <c r="HF22" t="e">
        <f>AND(#REF!,"AAAAAH+//dU=")</f>
        <v>#REF!</v>
      </c>
      <c r="HG22" t="e">
        <f>AND(#REF!,"AAAAAH+//dY=")</f>
        <v>#REF!</v>
      </c>
      <c r="HH22" t="e">
        <f>AND(#REF!,"AAAAAH+//dc=")</f>
        <v>#REF!</v>
      </c>
      <c r="HI22" t="e">
        <f>AND(#REF!,"AAAAAH+//dg=")</f>
        <v>#REF!</v>
      </c>
      <c r="HJ22" t="e">
        <f>AND(#REF!,"AAAAAH+//dk=")</f>
        <v>#REF!</v>
      </c>
      <c r="HK22" t="e">
        <f>AND(#REF!,"AAAAAH+//do=")</f>
        <v>#REF!</v>
      </c>
      <c r="HL22" t="e">
        <f>AND(#REF!,"AAAAAH+//ds=")</f>
        <v>#REF!</v>
      </c>
      <c r="HM22" t="e">
        <f>AND(#REF!,"AAAAAH+//dw=")</f>
        <v>#REF!</v>
      </c>
      <c r="HN22" t="e">
        <f>AND(#REF!,"AAAAAH+//d0=")</f>
        <v>#REF!</v>
      </c>
      <c r="HO22" t="e">
        <f>AND(#REF!,"AAAAAH+//d4=")</f>
        <v>#REF!</v>
      </c>
      <c r="HP22" t="e">
        <f>AND(#REF!,"AAAAAH+//d8=")</f>
        <v>#REF!</v>
      </c>
      <c r="HQ22" t="e">
        <f>AND(#REF!,"AAAAAH+//eA=")</f>
        <v>#REF!</v>
      </c>
      <c r="HR22" t="e">
        <f>AND(#REF!,"AAAAAH+//eE=")</f>
        <v>#REF!</v>
      </c>
      <c r="HS22" t="e">
        <f>AND(#REF!,"AAAAAH+//eI=")</f>
        <v>#REF!</v>
      </c>
      <c r="HT22" t="e">
        <f>AND(#REF!,"AAAAAH+//eM=")</f>
        <v>#REF!</v>
      </c>
      <c r="HU22" t="e">
        <f>AND(#REF!,"AAAAAH+//eQ=")</f>
        <v>#REF!</v>
      </c>
      <c r="HV22" t="e">
        <f>AND(#REF!,"AAAAAH+//eU=")</f>
        <v>#REF!</v>
      </c>
      <c r="HW22" t="e">
        <f>AND(#REF!,"AAAAAH+//eY=")</f>
        <v>#REF!</v>
      </c>
      <c r="HX22" t="e">
        <f>AND(#REF!,"AAAAAH+//ec=")</f>
        <v>#REF!</v>
      </c>
      <c r="HY22" t="e">
        <f>AND(#REF!,"AAAAAH+//eg=")</f>
        <v>#REF!</v>
      </c>
      <c r="HZ22" t="e">
        <f>AND(#REF!,"AAAAAH+//ek=")</f>
        <v>#REF!</v>
      </c>
      <c r="IA22" t="e">
        <f>AND(#REF!,"AAAAAH+//eo=")</f>
        <v>#REF!</v>
      </c>
      <c r="IB22" t="e">
        <f>AND(#REF!,"AAAAAH+//es=")</f>
        <v>#REF!</v>
      </c>
      <c r="IC22" t="e">
        <f>AND(#REF!,"AAAAAH+//ew=")</f>
        <v>#REF!</v>
      </c>
      <c r="ID22" t="e">
        <f>AND(#REF!,"AAAAAH+//e0=")</f>
        <v>#REF!</v>
      </c>
      <c r="IE22" t="e">
        <f>AND(#REF!,"AAAAAH+//e4=")</f>
        <v>#REF!</v>
      </c>
      <c r="IF22" t="e">
        <f>AND(#REF!,"AAAAAH+//e8=")</f>
        <v>#REF!</v>
      </c>
      <c r="IG22" t="e">
        <f>AND(#REF!,"AAAAAH+//fA=")</f>
        <v>#REF!</v>
      </c>
      <c r="IH22" t="e">
        <f>AND(#REF!,"AAAAAH+//fE=")</f>
        <v>#REF!</v>
      </c>
      <c r="II22" t="e">
        <f>AND(#REF!,"AAAAAH+//fI=")</f>
        <v>#REF!</v>
      </c>
      <c r="IJ22" t="e">
        <f>AND(#REF!,"AAAAAH+//fM=")</f>
        <v>#REF!</v>
      </c>
      <c r="IK22" t="e">
        <f>AND(#REF!,"AAAAAH+//fQ=")</f>
        <v>#REF!</v>
      </c>
      <c r="IL22" t="e">
        <f>AND(#REF!,"AAAAAH+//fU=")</f>
        <v>#REF!</v>
      </c>
      <c r="IM22" t="e">
        <f>AND(#REF!,"AAAAAH+//fY=")</f>
        <v>#REF!</v>
      </c>
      <c r="IN22" t="e">
        <f>AND(#REF!,"AAAAAH+//fc=")</f>
        <v>#REF!</v>
      </c>
      <c r="IO22" t="e">
        <f>AND(#REF!,"AAAAAH+//fg=")</f>
        <v>#REF!</v>
      </c>
      <c r="IP22" t="e">
        <f>AND(#REF!,"AAAAAH+//fk=")</f>
        <v>#REF!</v>
      </c>
      <c r="IQ22" t="e">
        <f>AND(#REF!,"AAAAAH+//fo=")</f>
        <v>#REF!</v>
      </c>
      <c r="IR22" t="e">
        <f>AND(#REF!,"AAAAAH+//fs=")</f>
        <v>#REF!</v>
      </c>
      <c r="IS22" t="e">
        <f>AND(#REF!,"AAAAAH+//fw=")</f>
        <v>#REF!</v>
      </c>
      <c r="IT22" t="e">
        <f>AND(#REF!,"AAAAAH+//f0=")</f>
        <v>#REF!</v>
      </c>
      <c r="IU22" t="e">
        <f>AND(#REF!,"AAAAAH+//f4=")</f>
        <v>#REF!</v>
      </c>
      <c r="IV22" t="e">
        <f>AND(#REF!,"AAAAAH+//f8=")</f>
        <v>#REF!</v>
      </c>
    </row>
    <row r="23" spans="1:256" ht="15">
      <c r="A23" t="e">
        <f>AND(#REF!,"AAAAAH35/wA=")</f>
        <v>#REF!</v>
      </c>
      <c r="B23" t="e">
        <f>AND(#REF!,"AAAAAH35/wE=")</f>
        <v>#REF!</v>
      </c>
      <c r="C23" t="e">
        <f>AND(#REF!,"AAAAAH35/wI=")</f>
        <v>#REF!</v>
      </c>
      <c r="D23" t="e">
        <f>AND(#REF!,"AAAAAH35/wM=")</f>
        <v>#REF!</v>
      </c>
      <c r="E23" t="e">
        <f>AND(#REF!,"AAAAAH35/wQ=")</f>
        <v>#REF!</v>
      </c>
      <c r="F23" t="e">
        <f>AND(#REF!,"AAAAAH35/wU=")</f>
        <v>#REF!</v>
      </c>
      <c r="G23" t="e">
        <f>AND(#REF!,"AAAAAH35/wY=")</f>
        <v>#REF!</v>
      </c>
      <c r="H23" t="e">
        <f>AND(#REF!,"AAAAAH35/wc=")</f>
        <v>#REF!</v>
      </c>
      <c r="I23" t="e">
        <f>AND(#REF!,"AAAAAH35/wg=")</f>
        <v>#REF!</v>
      </c>
      <c r="J23" t="e">
        <f>AND(#REF!,"AAAAAH35/wk=")</f>
        <v>#REF!</v>
      </c>
      <c r="K23" t="e">
        <f>AND(#REF!,"AAAAAH35/wo=")</f>
        <v>#REF!</v>
      </c>
      <c r="L23" t="e">
        <f>AND(#REF!,"AAAAAH35/ws=")</f>
        <v>#REF!</v>
      </c>
      <c r="M23" t="e">
        <f>AND(#REF!,"AAAAAH35/ww=")</f>
        <v>#REF!</v>
      </c>
      <c r="N23" t="e">
        <f>AND(#REF!,"AAAAAH35/w0=")</f>
        <v>#REF!</v>
      </c>
      <c r="O23" t="e">
        <f>AND(#REF!,"AAAAAH35/w4=")</f>
        <v>#REF!</v>
      </c>
      <c r="P23" t="e">
        <f>AND(#REF!,"AAAAAH35/w8=")</f>
        <v>#REF!</v>
      </c>
      <c r="Q23" t="e">
        <f>AND(#REF!,"AAAAAH35/xA=")</f>
        <v>#REF!</v>
      </c>
      <c r="R23" t="e">
        <f>AND(#REF!,"AAAAAH35/xE=")</f>
        <v>#REF!</v>
      </c>
      <c r="S23" t="e">
        <f>AND(#REF!,"AAAAAH35/xI=")</f>
        <v>#REF!</v>
      </c>
      <c r="T23" t="e">
        <f>AND(#REF!,"AAAAAH35/xM=")</f>
        <v>#REF!</v>
      </c>
      <c r="U23" t="e">
        <f>AND(#REF!,"AAAAAH35/xQ=")</f>
        <v>#REF!</v>
      </c>
      <c r="V23" t="e">
        <f>AND(#REF!,"AAAAAH35/xU=")</f>
        <v>#REF!</v>
      </c>
      <c r="W23" t="e">
        <f>AND(#REF!,"AAAAAH35/xY=")</f>
        <v>#REF!</v>
      </c>
      <c r="X23" t="e">
        <f>AND(#REF!,"AAAAAH35/xc=")</f>
        <v>#REF!</v>
      </c>
      <c r="Y23" t="e">
        <f>AND(#REF!,"AAAAAH35/xg=")</f>
        <v>#REF!</v>
      </c>
      <c r="Z23" t="e">
        <f>AND(#REF!,"AAAAAH35/xk=")</f>
        <v>#REF!</v>
      </c>
      <c r="AA23" t="e">
        <f>AND(#REF!,"AAAAAH35/xo=")</f>
        <v>#REF!</v>
      </c>
      <c r="AB23" t="e">
        <f>AND(#REF!,"AAAAAH35/xs=")</f>
        <v>#REF!</v>
      </c>
      <c r="AC23" t="e">
        <f>AND(#REF!,"AAAAAH35/xw=")</f>
        <v>#REF!</v>
      </c>
      <c r="AD23" t="e">
        <f>AND(#REF!,"AAAAAH35/x0=")</f>
        <v>#REF!</v>
      </c>
      <c r="AE23" t="e">
        <f>AND(#REF!,"AAAAAH35/x4=")</f>
        <v>#REF!</v>
      </c>
      <c r="AF23" t="e">
        <f>AND(#REF!,"AAAAAH35/x8=")</f>
        <v>#REF!</v>
      </c>
      <c r="AG23" t="e">
        <f>AND(#REF!,"AAAAAH35/yA=")</f>
        <v>#REF!</v>
      </c>
      <c r="AH23" t="e">
        <f>AND(#REF!,"AAAAAH35/yE=")</f>
        <v>#REF!</v>
      </c>
      <c r="AI23" t="e">
        <f>AND(#REF!,"AAAAAH35/yI=")</f>
        <v>#REF!</v>
      </c>
      <c r="AJ23" t="e">
        <f>AND(#REF!,"AAAAAH35/yM=")</f>
        <v>#REF!</v>
      </c>
      <c r="AK23" t="e">
        <f>AND(#REF!,"AAAAAH35/yQ=")</f>
        <v>#REF!</v>
      </c>
      <c r="AL23" t="e">
        <f>AND(#REF!,"AAAAAH35/yU=")</f>
        <v>#REF!</v>
      </c>
      <c r="AM23" t="e">
        <f>AND(#REF!,"AAAAAH35/yY=")</f>
        <v>#REF!</v>
      </c>
      <c r="AN23" t="e">
        <f>AND(#REF!,"AAAAAH35/yc=")</f>
        <v>#REF!</v>
      </c>
      <c r="AO23" t="e">
        <f>AND(#REF!,"AAAAAH35/yg=")</f>
        <v>#REF!</v>
      </c>
      <c r="AP23" t="e">
        <f>AND(#REF!,"AAAAAH35/yk=")</f>
        <v>#REF!</v>
      </c>
      <c r="AQ23" t="e">
        <f>AND(#REF!,"AAAAAH35/yo=")</f>
        <v>#REF!</v>
      </c>
      <c r="AR23" t="e">
        <f>AND(#REF!,"AAAAAH35/ys=")</f>
        <v>#REF!</v>
      </c>
      <c r="AS23" t="e">
        <f>AND(#REF!,"AAAAAH35/yw=")</f>
        <v>#REF!</v>
      </c>
      <c r="AT23" t="e">
        <f>AND(#REF!,"AAAAAH35/y0=")</f>
        <v>#REF!</v>
      </c>
      <c r="AU23" t="e">
        <f>AND(#REF!,"AAAAAH35/y4=")</f>
        <v>#REF!</v>
      </c>
      <c r="AV23" t="e">
        <f>AND(#REF!,"AAAAAH35/y8=")</f>
        <v>#REF!</v>
      </c>
      <c r="AW23" t="e">
        <f>AND(#REF!,"AAAAAH35/zA=")</f>
        <v>#REF!</v>
      </c>
      <c r="AX23" t="e">
        <f>AND(#REF!,"AAAAAH35/zE=")</f>
        <v>#REF!</v>
      </c>
      <c r="AY23" t="e">
        <f>AND(#REF!,"AAAAAH35/zI=")</f>
        <v>#REF!</v>
      </c>
      <c r="AZ23" t="e">
        <f>AND(#REF!,"AAAAAH35/zM=")</f>
        <v>#REF!</v>
      </c>
      <c r="BA23" t="e">
        <f>AND(#REF!,"AAAAAH35/zQ=")</f>
        <v>#REF!</v>
      </c>
      <c r="BB23" t="e">
        <f>AND(#REF!,"AAAAAH35/zU=")</f>
        <v>#REF!</v>
      </c>
      <c r="BC23" t="e">
        <f>AND(#REF!,"AAAAAH35/zY=")</f>
        <v>#REF!</v>
      </c>
      <c r="BD23" t="e">
        <f>AND(#REF!,"AAAAAH35/zc=")</f>
        <v>#REF!</v>
      </c>
      <c r="BE23" t="e">
        <f>AND(#REF!,"AAAAAH35/zg=")</f>
        <v>#REF!</v>
      </c>
      <c r="BF23" t="e">
        <f>AND(#REF!,"AAAAAH35/zk=")</f>
        <v>#REF!</v>
      </c>
      <c r="BG23" t="e">
        <f>AND(#REF!,"AAAAAH35/zo=")</f>
        <v>#REF!</v>
      </c>
      <c r="BH23" t="e">
        <f>AND(#REF!,"AAAAAH35/zs=")</f>
        <v>#REF!</v>
      </c>
      <c r="BI23" t="e">
        <f>AND(#REF!,"AAAAAH35/zw=")</f>
        <v>#REF!</v>
      </c>
      <c r="BJ23" t="e">
        <f>AND(#REF!,"AAAAAH35/z0=")</f>
        <v>#REF!</v>
      </c>
      <c r="BK23" t="e">
        <f>AND(#REF!,"AAAAAH35/z4=")</f>
        <v>#REF!</v>
      </c>
      <c r="BL23" t="e">
        <f>AND(#REF!,"AAAAAH35/z8=")</f>
        <v>#REF!</v>
      </c>
      <c r="BM23" t="e">
        <f>AND(#REF!,"AAAAAH35/0A=")</f>
        <v>#REF!</v>
      </c>
      <c r="BN23" t="e">
        <f>AND(#REF!,"AAAAAH35/0E=")</f>
        <v>#REF!</v>
      </c>
      <c r="BO23" t="e">
        <f>AND(#REF!,"AAAAAH35/0I=")</f>
        <v>#REF!</v>
      </c>
      <c r="BP23" t="e">
        <f>AND(#REF!,"AAAAAH35/0M=")</f>
        <v>#REF!</v>
      </c>
      <c r="BQ23" t="e">
        <f>AND(#REF!,"AAAAAH35/0Q=")</f>
        <v>#REF!</v>
      </c>
      <c r="BR23" t="e">
        <f>AND(#REF!,"AAAAAH35/0U=")</f>
        <v>#REF!</v>
      </c>
      <c r="BS23" t="e">
        <f>AND(#REF!,"AAAAAH35/0Y=")</f>
        <v>#REF!</v>
      </c>
      <c r="BT23" t="e">
        <f>AND(#REF!,"AAAAAH35/0c=")</f>
        <v>#REF!</v>
      </c>
      <c r="BU23" t="e">
        <f>AND(#REF!,"AAAAAH35/0g=")</f>
        <v>#REF!</v>
      </c>
      <c r="BV23" t="e">
        <f>AND(#REF!,"AAAAAH35/0k=")</f>
        <v>#REF!</v>
      </c>
      <c r="BW23" t="e">
        <f>AND(#REF!,"AAAAAH35/0o=")</f>
        <v>#REF!</v>
      </c>
      <c r="BX23" t="e">
        <f>AND(#REF!,"AAAAAH35/0s=")</f>
        <v>#REF!</v>
      </c>
      <c r="BY23" t="e">
        <f>AND(#REF!,"AAAAAH35/0w=")</f>
        <v>#REF!</v>
      </c>
      <c r="BZ23" t="e">
        <f>AND(#REF!,"AAAAAH35/00=")</f>
        <v>#REF!</v>
      </c>
      <c r="CA23" t="e">
        <f>AND(#REF!,"AAAAAH35/04=")</f>
        <v>#REF!</v>
      </c>
      <c r="CB23" t="e">
        <f>IF(#REF!,"AAAAAH35/08=",0)</f>
        <v>#REF!</v>
      </c>
      <c r="CC23" t="e">
        <f>AND(#REF!,"AAAAAH35/1A=")</f>
        <v>#REF!</v>
      </c>
      <c r="CD23" t="e">
        <f>AND(#REF!,"AAAAAH35/1E=")</f>
        <v>#REF!</v>
      </c>
      <c r="CE23" t="e">
        <f>AND(#REF!,"AAAAAH35/1I=")</f>
        <v>#REF!</v>
      </c>
      <c r="CF23" t="e">
        <f>AND(#REF!,"AAAAAH35/1M=")</f>
        <v>#REF!</v>
      </c>
      <c r="CG23" t="e">
        <f>AND(#REF!,"AAAAAH35/1Q=")</f>
        <v>#REF!</v>
      </c>
      <c r="CH23" t="e">
        <f>AND(#REF!,"AAAAAH35/1U=")</f>
        <v>#REF!</v>
      </c>
      <c r="CI23" t="e">
        <f>AND(#REF!,"AAAAAH35/1Y=")</f>
        <v>#REF!</v>
      </c>
      <c r="CJ23" t="e">
        <f>AND(#REF!,"AAAAAH35/1c=")</f>
        <v>#REF!</v>
      </c>
      <c r="CK23" t="e">
        <f>AND(#REF!,"AAAAAH35/1g=")</f>
        <v>#REF!</v>
      </c>
      <c r="CL23" t="e">
        <f>AND(#REF!,"AAAAAH35/1k=")</f>
        <v>#REF!</v>
      </c>
      <c r="CM23" t="e">
        <f>AND(#REF!,"AAAAAH35/1o=")</f>
        <v>#REF!</v>
      </c>
      <c r="CN23" t="e">
        <f>AND(#REF!,"AAAAAH35/1s=")</f>
        <v>#REF!</v>
      </c>
      <c r="CO23" t="e">
        <f>AND(#REF!,"AAAAAH35/1w=")</f>
        <v>#REF!</v>
      </c>
      <c r="CP23" t="e">
        <f>AND(#REF!,"AAAAAH35/10=")</f>
        <v>#REF!</v>
      </c>
      <c r="CQ23" t="e">
        <f>AND(#REF!,"AAAAAH35/14=")</f>
        <v>#REF!</v>
      </c>
      <c r="CR23" t="e">
        <f>AND(#REF!,"AAAAAH35/18=")</f>
        <v>#REF!</v>
      </c>
      <c r="CS23" t="e">
        <f>AND(#REF!,"AAAAAH35/2A=")</f>
        <v>#REF!</v>
      </c>
      <c r="CT23" t="e">
        <f>AND(#REF!,"AAAAAH35/2E=")</f>
        <v>#REF!</v>
      </c>
      <c r="CU23" t="e">
        <f>AND(#REF!,"AAAAAH35/2I=")</f>
        <v>#REF!</v>
      </c>
      <c r="CV23" t="e">
        <f>AND(#REF!,"AAAAAH35/2M=")</f>
        <v>#REF!</v>
      </c>
      <c r="CW23" t="e">
        <f>AND(#REF!,"AAAAAH35/2Q=")</f>
        <v>#REF!</v>
      </c>
      <c r="CX23" t="e">
        <f>AND(#REF!,"AAAAAH35/2U=")</f>
        <v>#REF!</v>
      </c>
      <c r="CY23" t="e">
        <f>AND(#REF!,"AAAAAH35/2Y=")</f>
        <v>#REF!</v>
      </c>
      <c r="CZ23" t="e">
        <f>AND(#REF!,"AAAAAH35/2c=")</f>
        <v>#REF!</v>
      </c>
      <c r="DA23" t="e">
        <f>AND(#REF!,"AAAAAH35/2g=")</f>
        <v>#REF!</v>
      </c>
      <c r="DB23" t="e">
        <f>AND(#REF!,"AAAAAH35/2k=")</f>
        <v>#REF!</v>
      </c>
      <c r="DC23" t="e">
        <f>AND(#REF!,"AAAAAH35/2o=")</f>
        <v>#REF!</v>
      </c>
      <c r="DD23" t="e">
        <f>AND(#REF!,"AAAAAH35/2s=")</f>
        <v>#REF!</v>
      </c>
      <c r="DE23" t="e">
        <f>AND(#REF!,"AAAAAH35/2w=")</f>
        <v>#REF!</v>
      </c>
      <c r="DF23" t="e">
        <f>AND(#REF!,"AAAAAH35/20=")</f>
        <v>#REF!</v>
      </c>
      <c r="DG23" t="e">
        <f>AND(#REF!,"AAAAAH35/24=")</f>
        <v>#REF!</v>
      </c>
      <c r="DH23" t="e">
        <f>AND(#REF!,"AAAAAH35/28=")</f>
        <v>#REF!</v>
      </c>
      <c r="DI23" t="e">
        <f>AND(#REF!,"AAAAAH35/3A=")</f>
        <v>#REF!</v>
      </c>
      <c r="DJ23" t="e">
        <f>AND(#REF!,"AAAAAH35/3E=")</f>
        <v>#REF!</v>
      </c>
      <c r="DK23" t="e">
        <f>AND(#REF!,"AAAAAH35/3I=")</f>
        <v>#REF!</v>
      </c>
      <c r="DL23" t="e">
        <f>AND(#REF!,"AAAAAH35/3M=")</f>
        <v>#REF!</v>
      </c>
      <c r="DM23" t="e">
        <f>AND(#REF!,"AAAAAH35/3Q=")</f>
        <v>#REF!</v>
      </c>
      <c r="DN23" t="e">
        <f>AND(#REF!,"AAAAAH35/3U=")</f>
        <v>#REF!</v>
      </c>
      <c r="DO23" t="e">
        <f>AND(#REF!,"AAAAAH35/3Y=")</f>
        <v>#REF!</v>
      </c>
      <c r="DP23" t="e">
        <f>AND(#REF!,"AAAAAH35/3c=")</f>
        <v>#REF!</v>
      </c>
      <c r="DQ23" t="e">
        <f>AND(#REF!,"AAAAAH35/3g=")</f>
        <v>#REF!</v>
      </c>
      <c r="DR23" t="e">
        <f>AND(#REF!,"AAAAAH35/3k=")</f>
        <v>#REF!</v>
      </c>
      <c r="DS23" t="e">
        <f>AND(#REF!,"AAAAAH35/3o=")</f>
        <v>#REF!</v>
      </c>
      <c r="DT23" t="e">
        <f>AND(#REF!,"AAAAAH35/3s=")</f>
        <v>#REF!</v>
      </c>
      <c r="DU23" t="e">
        <f>AND(#REF!,"AAAAAH35/3w=")</f>
        <v>#REF!</v>
      </c>
      <c r="DV23" t="e">
        <f>AND(#REF!,"AAAAAH35/30=")</f>
        <v>#REF!</v>
      </c>
      <c r="DW23" t="e">
        <f>AND(#REF!,"AAAAAH35/34=")</f>
        <v>#REF!</v>
      </c>
      <c r="DX23" t="e">
        <f>AND(#REF!,"AAAAAH35/38=")</f>
        <v>#REF!</v>
      </c>
      <c r="DY23" t="e">
        <f>AND(#REF!,"AAAAAH35/4A=")</f>
        <v>#REF!</v>
      </c>
      <c r="DZ23" t="e">
        <f>AND(#REF!,"AAAAAH35/4E=")</f>
        <v>#REF!</v>
      </c>
      <c r="EA23" t="e">
        <f>AND(#REF!,"AAAAAH35/4I=")</f>
        <v>#REF!</v>
      </c>
      <c r="EB23" t="e">
        <f>AND(#REF!,"AAAAAH35/4M=")</f>
        <v>#REF!</v>
      </c>
      <c r="EC23" t="e">
        <f>AND(#REF!,"AAAAAH35/4Q=")</f>
        <v>#REF!</v>
      </c>
      <c r="ED23" t="e">
        <f>AND(#REF!,"AAAAAH35/4U=")</f>
        <v>#REF!</v>
      </c>
      <c r="EE23" t="e">
        <f>AND(#REF!,"AAAAAH35/4Y=")</f>
        <v>#REF!</v>
      </c>
      <c r="EF23" t="e">
        <f>AND(#REF!,"AAAAAH35/4c=")</f>
        <v>#REF!</v>
      </c>
      <c r="EG23" t="e">
        <f>AND(#REF!,"AAAAAH35/4g=")</f>
        <v>#REF!</v>
      </c>
      <c r="EH23" t="e">
        <f>AND(#REF!,"AAAAAH35/4k=")</f>
        <v>#REF!</v>
      </c>
      <c r="EI23" t="e">
        <f>AND(#REF!,"AAAAAH35/4o=")</f>
        <v>#REF!</v>
      </c>
      <c r="EJ23" t="e">
        <f>AND(#REF!,"AAAAAH35/4s=")</f>
        <v>#REF!</v>
      </c>
      <c r="EK23" t="e">
        <f>AND(#REF!,"AAAAAH35/4w=")</f>
        <v>#REF!</v>
      </c>
      <c r="EL23" t="e">
        <f>AND(#REF!,"AAAAAH35/40=")</f>
        <v>#REF!</v>
      </c>
      <c r="EM23" t="e">
        <f>AND(#REF!,"AAAAAH35/44=")</f>
        <v>#REF!</v>
      </c>
      <c r="EN23" t="e">
        <f>AND(#REF!,"AAAAAH35/48=")</f>
        <v>#REF!</v>
      </c>
      <c r="EO23" t="e">
        <f>AND(#REF!,"AAAAAH35/5A=")</f>
        <v>#REF!</v>
      </c>
      <c r="EP23" t="e">
        <f>AND(#REF!,"AAAAAH35/5E=")</f>
        <v>#REF!</v>
      </c>
      <c r="EQ23" t="e">
        <f>AND(#REF!,"AAAAAH35/5I=")</f>
        <v>#REF!</v>
      </c>
      <c r="ER23" t="e">
        <f>AND(#REF!,"AAAAAH35/5M=")</f>
        <v>#REF!</v>
      </c>
      <c r="ES23" t="e">
        <f>AND(#REF!,"AAAAAH35/5Q=")</f>
        <v>#REF!</v>
      </c>
      <c r="ET23" t="e">
        <f>AND(#REF!,"AAAAAH35/5U=")</f>
        <v>#REF!</v>
      </c>
      <c r="EU23" t="e">
        <f>AND(#REF!,"AAAAAH35/5Y=")</f>
        <v>#REF!</v>
      </c>
      <c r="EV23" t="e">
        <f>AND(#REF!,"AAAAAH35/5c=")</f>
        <v>#REF!</v>
      </c>
      <c r="EW23" t="e">
        <f>AND(#REF!,"AAAAAH35/5g=")</f>
        <v>#REF!</v>
      </c>
      <c r="EX23" t="e">
        <f>AND(#REF!,"AAAAAH35/5k=")</f>
        <v>#REF!</v>
      </c>
      <c r="EY23" t="e">
        <f>AND(#REF!,"AAAAAH35/5o=")</f>
        <v>#REF!</v>
      </c>
      <c r="EZ23" t="e">
        <f>AND(#REF!,"AAAAAH35/5s=")</f>
        <v>#REF!</v>
      </c>
      <c r="FA23" t="e">
        <f>AND(#REF!,"AAAAAH35/5w=")</f>
        <v>#REF!</v>
      </c>
      <c r="FB23" t="e">
        <f>AND(#REF!,"AAAAAH35/50=")</f>
        <v>#REF!</v>
      </c>
      <c r="FC23" t="e">
        <f>AND(#REF!,"AAAAAH35/54=")</f>
        <v>#REF!</v>
      </c>
      <c r="FD23" t="e">
        <f>AND(#REF!,"AAAAAH35/58=")</f>
        <v>#REF!</v>
      </c>
      <c r="FE23" t="e">
        <f>AND(#REF!,"AAAAAH35/6A=")</f>
        <v>#REF!</v>
      </c>
      <c r="FF23" t="e">
        <f>AND(#REF!,"AAAAAH35/6E=")</f>
        <v>#REF!</v>
      </c>
      <c r="FG23" t="e">
        <f>AND(#REF!,"AAAAAH35/6I=")</f>
        <v>#REF!</v>
      </c>
      <c r="FH23" t="e">
        <f>AND(#REF!,"AAAAAH35/6M=")</f>
        <v>#REF!</v>
      </c>
      <c r="FI23" t="e">
        <f>AND(#REF!,"AAAAAH35/6Q=")</f>
        <v>#REF!</v>
      </c>
      <c r="FJ23" t="e">
        <f>AND(#REF!,"AAAAAH35/6U=")</f>
        <v>#REF!</v>
      </c>
      <c r="FK23" t="e">
        <f>AND(#REF!,"AAAAAH35/6Y=")</f>
        <v>#REF!</v>
      </c>
      <c r="FL23" t="e">
        <f>AND(#REF!,"AAAAAH35/6c=")</f>
        <v>#REF!</v>
      </c>
      <c r="FM23" t="e">
        <f>AND(#REF!,"AAAAAH35/6g=")</f>
        <v>#REF!</v>
      </c>
      <c r="FN23" t="e">
        <f>AND(#REF!,"AAAAAH35/6k=")</f>
        <v>#REF!</v>
      </c>
      <c r="FO23" t="e">
        <f>AND(#REF!,"AAAAAH35/6o=")</f>
        <v>#REF!</v>
      </c>
      <c r="FP23" t="e">
        <f>AND(#REF!,"AAAAAH35/6s=")</f>
        <v>#REF!</v>
      </c>
      <c r="FQ23" t="e">
        <f>AND(#REF!,"AAAAAH35/6w=")</f>
        <v>#REF!</v>
      </c>
      <c r="FR23" t="e">
        <f>AND(#REF!,"AAAAAH35/60=")</f>
        <v>#REF!</v>
      </c>
      <c r="FS23" t="e">
        <f>AND(#REF!,"AAAAAH35/64=")</f>
        <v>#REF!</v>
      </c>
      <c r="FT23" t="e">
        <f>AND(#REF!,"AAAAAH35/68=")</f>
        <v>#REF!</v>
      </c>
      <c r="FU23" t="e">
        <f>AND(#REF!,"AAAAAH35/7A=")</f>
        <v>#REF!</v>
      </c>
      <c r="FV23" t="e">
        <f>AND(#REF!,"AAAAAH35/7E=")</f>
        <v>#REF!</v>
      </c>
      <c r="FW23" t="e">
        <f>AND(#REF!,"AAAAAH35/7I=")</f>
        <v>#REF!</v>
      </c>
      <c r="FX23" t="e">
        <f>AND(#REF!,"AAAAAH35/7M=")</f>
        <v>#REF!</v>
      </c>
      <c r="FY23" t="e">
        <f>AND(#REF!,"AAAAAH35/7Q=")</f>
        <v>#REF!</v>
      </c>
      <c r="FZ23" t="e">
        <f>AND(#REF!,"AAAAAH35/7U=")</f>
        <v>#REF!</v>
      </c>
      <c r="GA23" t="e">
        <f>AND(#REF!,"AAAAAH35/7Y=")</f>
        <v>#REF!</v>
      </c>
      <c r="GB23" t="e">
        <f>AND(#REF!,"AAAAAH35/7c=")</f>
        <v>#REF!</v>
      </c>
      <c r="GC23" t="e">
        <f>AND(#REF!,"AAAAAH35/7g=")</f>
        <v>#REF!</v>
      </c>
      <c r="GD23" t="e">
        <f>AND(#REF!,"AAAAAH35/7k=")</f>
        <v>#REF!</v>
      </c>
      <c r="GE23" t="e">
        <f>AND(#REF!,"AAAAAH35/7o=")</f>
        <v>#REF!</v>
      </c>
      <c r="GF23" t="e">
        <f>AND(#REF!,"AAAAAH35/7s=")</f>
        <v>#REF!</v>
      </c>
      <c r="GG23" t="e">
        <f>AND(#REF!,"AAAAAH35/7w=")</f>
        <v>#REF!</v>
      </c>
      <c r="GH23" t="e">
        <f>AND(#REF!,"AAAAAH35/70=")</f>
        <v>#REF!</v>
      </c>
      <c r="GI23" t="e">
        <f>AND(#REF!,"AAAAAH35/74=")</f>
        <v>#REF!</v>
      </c>
      <c r="GJ23" t="e">
        <f>AND(#REF!,"AAAAAH35/78=")</f>
        <v>#REF!</v>
      </c>
      <c r="GK23" t="e">
        <f>AND(#REF!,"AAAAAH35/8A=")</f>
        <v>#REF!</v>
      </c>
      <c r="GL23" t="e">
        <f>AND(#REF!,"AAAAAH35/8E=")</f>
        <v>#REF!</v>
      </c>
      <c r="GM23" t="e">
        <f>AND(#REF!,"AAAAAH35/8I=")</f>
        <v>#REF!</v>
      </c>
      <c r="GN23" t="e">
        <f>AND(#REF!,"AAAAAH35/8M=")</f>
        <v>#REF!</v>
      </c>
      <c r="GO23" t="e">
        <f>AND(#REF!,"AAAAAH35/8Q=")</f>
        <v>#REF!</v>
      </c>
      <c r="GP23" t="e">
        <f>AND(#REF!,"AAAAAH35/8U=")</f>
        <v>#REF!</v>
      </c>
      <c r="GQ23" t="e">
        <f>AND(#REF!,"AAAAAH35/8Y=")</f>
        <v>#REF!</v>
      </c>
      <c r="GR23" t="e">
        <f>AND(#REF!,"AAAAAH35/8c=")</f>
        <v>#REF!</v>
      </c>
      <c r="GS23" t="e">
        <f>AND(#REF!,"AAAAAH35/8g=")</f>
        <v>#REF!</v>
      </c>
      <c r="GT23" t="e">
        <f>AND(#REF!,"AAAAAH35/8k=")</f>
        <v>#REF!</v>
      </c>
      <c r="GU23" t="e">
        <f>AND(#REF!,"AAAAAH35/8o=")</f>
        <v>#REF!</v>
      </c>
      <c r="GV23" t="e">
        <f>AND(#REF!,"AAAAAH35/8s=")</f>
        <v>#REF!</v>
      </c>
      <c r="GW23" t="e">
        <f>AND(#REF!,"AAAAAH35/8w=")</f>
        <v>#REF!</v>
      </c>
      <c r="GX23" t="e">
        <f>AND(#REF!,"AAAAAH35/80=")</f>
        <v>#REF!</v>
      </c>
      <c r="GY23" t="e">
        <f>AND(#REF!,"AAAAAH35/84=")</f>
        <v>#REF!</v>
      </c>
      <c r="GZ23" t="e">
        <f>AND(#REF!,"AAAAAH35/88=")</f>
        <v>#REF!</v>
      </c>
      <c r="HA23" t="e">
        <f>AND(#REF!,"AAAAAH35/9A=")</f>
        <v>#REF!</v>
      </c>
      <c r="HB23" t="e">
        <f>AND(#REF!,"AAAAAH35/9E=")</f>
        <v>#REF!</v>
      </c>
      <c r="HC23" t="e">
        <f>AND(#REF!,"AAAAAH35/9I=")</f>
        <v>#REF!</v>
      </c>
      <c r="HD23" t="e">
        <f>AND(#REF!,"AAAAAH35/9M=")</f>
        <v>#REF!</v>
      </c>
      <c r="HE23" t="e">
        <f>AND(#REF!,"AAAAAH35/9Q=")</f>
        <v>#REF!</v>
      </c>
      <c r="HF23" t="e">
        <f>AND(#REF!,"AAAAAH35/9U=")</f>
        <v>#REF!</v>
      </c>
      <c r="HG23" t="e">
        <f>AND(#REF!,"AAAAAH35/9Y=")</f>
        <v>#REF!</v>
      </c>
      <c r="HH23" t="e">
        <f>IF(#REF!,"AAAAAH35/9c=",0)</f>
        <v>#REF!</v>
      </c>
      <c r="HI23" t="e">
        <f>AND(#REF!,"AAAAAH35/9g=")</f>
        <v>#REF!</v>
      </c>
      <c r="HJ23" t="e">
        <f>AND(#REF!,"AAAAAH35/9k=")</f>
        <v>#REF!</v>
      </c>
      <c r="HK23" t="e">
        <f>AND(#REF!,"AAAAAH35/9o=")</f>
        <v>#REF!</v>
      </c>
      <c r="HL23" t="e">
        <f>AND(#REF!,"AAAAAH35/9s=")</f>
        <v>#REF!</v>
      </c>
      <c r="HM23" t="e">
        <f>AND(#REF!,"AAAAAH35/9w=")</f>
        <v>#REF!</v>
      </c>
      <c r="HN23" t="e">
        <f>AND(#REF!,"AAAAAH35/90=")</f>
        <v>#REF!</v>
      </c>
      <c r="HO23" t="e">
        <f>AND(#REF!,"AAAAAH35/94=")</f>
        <v>#REF!</v>
      </c>
      <c r="HP23" t="e">
        <f>AND(#REF!,"AAAAAH35/98=")</f>
        <v>#REF!</v>
      </c>
      <c r="HQ23" t="e">
        <f>AND(#REF!,"AAAAAH35/+A=")</f>
        <v>#REF!</v>
      </c>
      <c r="HR23" t="e">
        <f>AND(#REF!,"AAAAAH35/+E=")</f>
        <v>#REF!</v>
      </c>
      <c r="HS23" t="e">
        <f>AND(#REF!,"AAAAAH35/+I=")</f>
        <v>#REF!</v>
      </c>
      <c r="HT23" t="e">
        <f>AND(#REF!,"AAAAAH35/+M=")</f>
        <v>#REF!</v>
      </c>
      <c r="HU23" t="e">
        <f>AND(#REF!,"AAAAAH35/+Q=")</f>
        <v>#REF!</v>
      </c>
      <c r="HV23" t="e">
        <f>AND(#REF!,"AAAAAH35/+U=")</f>
        <v>#REF!</v>
      </c>
      <c r="HW23" t="e">
        <f>AND(#REF!,"AAAAAH35/+Y=")</f>
        <v>#REF!</v>
      </c>
      <c r="HX23" t="e">
        <f>AND(#REF!,"AAAAAH35/+c=")</f>
        <v>#REF!</v>
      </c>
      <c r="HY23" t="e">
        <f>AND(#REF!,"AAAAAH35/+g=")</f>
        <v>#REF!</v>
      </c>
      <c r="HZ23" t="e">
        <f>AND(#REF!,"AAAAAH35/+k=")</f>
        <v>#REF!</v>
      </c>
      <c r="IA23" t="e">
        <f>AND(#REF!,"AAAAAH35/+o=")</f>
        <v>#REF!</v>
      </c>
      <c r="IB23" t="e">
        <f>AND(#REF!,"AAAAAH35/+s=")</f>
        <v>#REF!</v>
      </c>
      <c r="IC23" t="e">
        <f>AND(#REF!,"AAAAAH35/+w=")</f>
        <v>#REF!</v>
      </c>
      <c r="ID23" t="e">
        <f>AND(#REF!,"AAAAAH35/+0=")</f>
        <v>#REF!</v>
      </c>
      <c r="IE23" t="e">
        <f>AND(#REF!,"AAAAAH35/+4=")</f>
        <v>#REF!</v>
      </c>
      <c r="IF23" t="e">
        <f>AND(#REF!,"AAAAAH35/+8=")</f>
        <v>#REF!</v>
      </c>
      <c r="IG23" t="e">
        <f>AND(#REF!,"AAAAAH35//A=")</f>
        <v>#REF!</v>
      </c>
      <c r="IH23" t="e">
        <f>AND(#REF!,"AAAAAH35//E=")</f>
        <v>#REF!</v>
      </c>
      <c r="II23" t="e">
        <f>AND(#REF!,"AAAAAH35//I=")</f>
        <v>#REF!</v>
      </c>
      <c r="IJ23" t="e">
        <f>AND(#REF!,"AAAAAH35//M=")</f>
        <v>#REF!</v>
      </c>
      <c r="IK23" t="e">
        <f>AND(#REF!,"AAAAAH35//Q=")</f>
        <v>#REF!</v>
      </c>
      <c r="IL23" t="e">
        <f>AND(#REF!,"AAAAAH35//U=")</f>
        <v>#REF!</v>
      </c>
      <c r="IM23" t="e">
        <f>AND(#REF!,"AAAAAH35//Y=")</f>
        <v>#REF!</v>
      </c>
      <c r="IN23" t="e">
        <f>AND(#REF!,"AAAAAH35//c=")</f>
        <v>#REF!</v>
      </c>
      <c r="IO23" t="e">
        <f>AND(#REF!,"AAAAAH35//g=")</f>
        <v>#REF!</v>
      </c>
      <c r="IP23" t="e">
        <f>AND(#REF!,"AAAAAH35//k=")</f>
        <v>#REF!</v>
      </c>
      <c r="IQ23" t="e">
        <f>AND(#REF!,"AAAAAH35//o=")</f>
        <v>#REF!</v>
      </c>
      <c r="IR23" t="e">
        <f>AND(#REF!,"AAAAAH35//s=")</f>
        <v>#REF!</v>
      </c>
      <c r="IS23" t="e">
        <f>AND(#REF!,"AAAAAH35//w=")</f>
        <v>#REF!</v>
      </c>
      <c r="IT23" t="e">
        <f>AND(#REF!,"AAAAAH35//0=")</f>
        <v>#REF!</v>
      </c>
      <c r="IU23" t="e">
        <f>AND(#REF!,"AAAAAH35//4=")</f>
        <v>#REF!</v>
      </c>
      <c r="IV23" t="e">
        <f>AND(#REF!,"AAAAAH35//8=")</f>
        <v>#REF!</v>
      </c>
    </row>
    <row r="24" spans="1:256" ht="15">
      <c r="A24" t="e">
        <f>AND(#REF!,"AAAAAHt79gA=")</f>
        <v>#REF!</v>
      </c>
      <c r="B24" t="e">
        <f>AND(#REF!,"AAAAAHt79gE=")</f>
        <v>#REF!</v>
      </c>
      <c r="C24" t="e">
        <f>AND(#REF!,"AAAAAHt79gI=")</f>
        <v>#REF!</v>
      </c>
      <c r="D24" t="e">
        <f>AND(#REF!,"AAAAAHt79gM=")</f>
        <v>#REF!</v>
      </c>
      <c r="E24" t="e">
        <f>AND(#REF!,"AAAAAHt79gQ=")</f>
        <v>#REF!</v>
      </c>
      <c r="F24" t="e">
        <f>AND(#REF!,"AAAAAHt79gU=")</f>
        <v>#REF!</v>
      </c>
      <c r="G24" t="e">
        <f>AND(#REF!,"AAAAAHt79gY=")</f>
        <v>#REF!</v>
      </c>
      <c r="H24" t="e">
        <f>AND(#REF!,"AAAAAHt79gc=")</f>
        <v>#REF!</v>
      </c>
      <c r="I24" t="e">
        <f>AND(#REF!,"AAAAAHt79gg=")</f>
        <v>#REF!</v>
      </c>
      <c r="J24" t="e">
        <f>AND(#REF!,"AAAAAHt79gk=")</f>
        <v>#REF!</v>
      </c>
      <c r="K24" t="e">
        <f>AND(#REF!,"AAAAAHt79go=")</f>
        <v>#REF!</v>
      </c>
      <c r="L24" t="e">
        <f>AND(#REF!,"AAAAAHt79gs=")</f>
        <v>#REF!</v>
      </c>
      <c r="M24" t="e">
        <f>AND(#REF!,"AAAAAHt79gw=")</f>
        <v>#REF!</v>
      </c>
      <c r="N24" t="e">
        <f>AND(#REF!,"AAAAAHt79g0=")</f>
        <v>#REF!</v>
      </c>
      <c r="O24" t="e">
        <f>AND(#REF!,"AAAAAHt79g4=")</f>
        <v>#REF!</v>
      </c>
      <c r="P24" t="e">
        <f>AND(#REF!,"AAAAAHt79g8=")</f>
        <v>#REF!</v>
      </c>
      <c r="Q24" t="e">
        <f>AND(#REF!,"AAAAAHt79hA=")</f>
        <v>#REF!</v>
      </c>
      <c r="R24" t="e">
        <f>AND(#REF!,"AAAAAHt79hE=")</f>
        <v>#REF!</v>
      </c>
      <c r="S24" t="e">
        <f>AND(#REF!,"AAAAAHt79hI=")</f>
        <v>#REF!</v>
      </c>
      <c r="T24" t="e">
        <f>AND(#REF!,"AAAAAHt79hM=")</f>
        <v>#REF!</v>
      </c>
      <c r="U24" t="e">
        <f>AND(#REF!,"AAAAAHt79hQ=")</f>
        <v>#REF!</v>
      </c>
      <c r="V24" t="e">
        <f>AND(#REF!,"AAAAAHt79hU=")</f>
        <v>#REF!</v>
      </c>
      <c r="W24" t="e">
        <f>AND(#REF!,"AAAAAHt79hY=")</f>
        <v>#REF!</v>
      </c>
      <c r="X24" t="e">
        <f>AND(#REF!,"AAAAAHt79hc=")</f>
        <v>#REF!</v>
      </c>
      <c r="Y24" t="e">
        <f>AND(#REF!,"AAAAAHt79hg=")</f>
        <v>#REF!</v>
      </c>
      <c r="Z24" t="e">
        <f>AND(#REF!,"AAAAAHt79hk=")</f>
        <v>#REF!</v>
      </c>
      <c r="AA24" t="e">
        <f>AND(#REF!,"AAAAAHt79ho=")</f>
        <v>#REF!</v>
      </c>
      <c r="AB24" t="e">
        <f>AND(#REF!,"AAAAAHt79hs=")</f>
        <v>#REF!</v>
      </c>
      <c r="AC24" t="e">
        <f>AND(#REF!,"AAAAAHt79hw=")</f>
        <v>#REF!</v>
      </c>
      <c r="AD24" t="e">
        <f>AND(#REF!,"AAAAAHt79h0=")</f>
        <v>#REF!</v>
      </c>
      <c r="AE24" t="e">
        <f>AND(#REF!,"AAAAAHt79h4=")</f>
        <v>#REF!</v>
      </c>
      <c r="AF24" t="e">
        <f>AND(#REF!,"AAAAAHt79h8=")</f>
        <v>#REF!</v>
      </c>
      <c r="AG24" t="e">
        <f>AND(#REF!,"AAAAAHt79iA=")</f>
        <v>#REF!</v>
      </c>
      <c r="AH24" t="e">
        <f>AND(#REF!,"AAAAAHt79iE=")</f>
        <v>#REF!</v>
      </c>
      <c r="AI24" t="e">
        <f>AND(#REF!,"AAAAAHt79iI=")</f>
        <v>#REF!</v>
      </c>
      <c r="AJ24" t="e">
        <f>AND(#REF!,"AAAAAHt79iM=")</f>
        <v>#REF!</v>
      </c>
      <c r="AK24" t="e">
        <f>AND(#REF!,"AAAAAHt79iQ=")</f>
        <v>#REF!</v>
      </c>
      <c r="AL24" t="e">
        <f>AND(#REF!,"AAAAAHt79iU=")</f>
        <v>#REF!</v>
      </c>
      <c r="AM24" t="e">
        <f>AND(#REF!,"AAAAAHt79iY=")</f>
        <v>#REF!</v>
      </c>
      <c r="AN24" t="e">
        <f>AND(#REF!,"AAAAAHt79ic=")</f>
        <v>#REF!</v>
      </c>
      <c r="AO24" t="e">
        <f>AND(#REF!,"AAAAAHt79ig=")</f>
        <v>#REF!</v>
      </c>
      <c r="AP24" t="e">
        <f>AND(#REF!,"AAAAAHt79ik=")</f>
        <v>#REF!</v>
      </c>
      <c r="AQ24" t="e">
        <f>AND(#REF!,"AAAAAHt79io=")</f>
        <v>#REF!</v>
      </c>
      <c r="AR24" t="e">
        <f>AND(#REF!,"AAAAAHt79is=")</f>
        <v>#REF!</v>
      </c>
      <c r="AS24" t="e">
        <f>AND(#REF!,"AAAAAHt79iw=")</f>
        <v>#REF!</v>
      </c>
      <c r="AT24" t="e">
        <f>AND(#REF!,"AAAAAHt79i0=")</f>
        <v>#REF!</v>
      </c>
      <c r="AU24" t="e">
        <f>AND(#REF!,"AAAAAHt79i4=")</f>
        <v>#REF!</v>
      </c>
      <c r="AV24" t="e">
        <f>AND(#REF!,"AAAAAHt79i8=")</f>
        <v>#REF!</v>
      </c>
      <c r="AW24" t="e">
        <f>AND(#REF!,"AAAAAHt79jA=")</f>
        <v>#REF!</v>
      </c>
      <c r="AX24" t="e">
        <f>AND(#REF!,"AAAAAHt79jE=")</f>
        <v>#REF!</v>
      </c>
      <c r="AY24" t="e">
        <f>AND(#REF!,"AAAAAHt79jI=")</f>
        <v>#REF!</v>
      </c>
      <c r="AZ24" t="e">
        <f>AND(#REF!,"AAAAAHt79jM=")</f>
        <v>#REF!</v>
      </c>
      <c r="BA24" t="e">
        <f>AND(#REF!,"AAAAAHt79jQ=")</f>
        <v>#REF!</v>
      </c>
      <c r="BB24" t="e">
        <f>AND(#REF!,"AAAAAHt79jU=")</f>
        <v>#REF!</v>
      </c>
      <c r="BC24" t="e">
        <f>AND(#REF!,"AAAAAHt79jY=")</f>
        <v>#REF!</v>
      </c>
      <c r="BD24" t="e">
        <f>AND(#REF!,"AAAAAHt79jc=")</f>
        <v>#REF!</v>
      </c>
      <c r="BE24" t="e">
        <f>AND(#REF!,"AAAAAHt79jg=")</f>
        <v>#REF!</v>
      </c>
      <c r="BF24" t="e">
        <f>AND(#REF!,"AAAAAHt79jk=")</f>
        <v>#REF!</v>
      </c>
      <c r="BG24" t="e">
        <f>AND(#REF!,"AAAAAHt79jo=")</f>
        <v>#REF!</v>
      </c>
      <c r="BH24" t="e">
        <f>AND(#REF!,"AAAAAHt79js=")</f>
        <v>#REF!</v>
      </c>
      <c r="BI24" t="e">
        <f>AND(#REF!,"AAAAAHt79jw=")</f>
        <v>#REF!</v>
      </c>
      <c r="BJ24" t="e">
        <f>AND(#REF!,"AAAAAHt79j0=")</f>
        <v>#REF!</v>
      </c>
      <c r="BK24" t="e">
        <f>AND(#REF!,"AAAAAHt79j4=")</f>
        <v>#REF!</v>
      </c>
      <c r="BL24" t="e">
        <f>AND(#REF!,"AAAAAHt79j8=")</f>
        <v>#REF!</v>
      </c>
      <c r="BM24" t="e">
        <f>AND(#REF!,"AAAAAHt79kA=")</f>
        <v>#REF!</v>
      </c>
      <c r="BN24" t="e">
        <f>AND(#REF!,"AAAAAHt79kE=")</f>
        <v>#REF!</v>
      </c>
      <c r="BO24" t="e">
        <f>AND(#REF!,"AAAAAHt79kI=")</f>
        <v>#REF!</v>
      </c>
      <c r="BP24" t="e">
        <f>AND(#REF!,"AAAAAHt79kM=")</f>
        <v>#REF!</v>
      </c>
      <c r="BQ24" t="e">
        <f>AND(#REF!,"AAAAAHt79kQ=")</f>
        <v>#REF!</v>
      </c>
      <c r="BR24" t="e">
        <f>AND(#REF!,"AAAAAHt79kU=")</f>
        <v>#REF!</v>
      </c>
      <c r="BS24" t="e">
        <f>AND(#REF!,"AAAAAHt79kY=")</f>
        <v>#REF!</v>
      </c>
      <c r="BT24" t="e">
        <f>AND(#REF!,"AAAAAHt79kc=")</f>
        <v>#REF!</v>
      </c>
      <c r="BU24" t="e">
        <f>AND(#REF!,"AAAAAHt79kg=")</f>
        <v>#REF!</v>
      </c>
      <c r="BV24" t="e">
        <f>AND(#REF!,"AAAAAHt79kk=")</f>
        <v>#REF!</v>
      </c>
      <c r="BW24" t="e">
        <f>AND(#REF!,"AAAAAHt79ko=")</f>
        <v>#REF!</v>
      </c>
      <c r="BX24" t="e">
        <f>AND(#REF!,"AAAAAHt79ks=")</f>
        <v>#REF!</v>
      </c>
      <c r="BY24" t="e">
        <f>AND(#REF!,"AAAAAHt79kw=")</f>
        <v>#REF!</v>
      </c>
      <c r="BZ24" t="e">
        <f>AND(#REF!,"AAAAAHt79k0=")</f>
        <v>#REF!</v>
      </c>
      <c r="CA24" t="e">
        <f>AND(#REF!,"AAAAAHt79k4=")</f>
        <v>#REF!</v>
      </c>
      <c r="CB24" t="e">
        <f>AND(#REF!,"AAAAAHt79k8=")</f>
        <v>#REF!</v>
      </c>
      <c r="CC24" t="e">
        <f>AND(#REF!,"AAAAAHt79lA=")</f>
        <v>#REF!</v>
      </c>
      <c r="CD24" t="e">
        <f>AND(#REF!,"AAAAAHt79lE=")</f>
        <v>#REF!</v>
      </c>
      <c r="CE24" t="e">
        <f>AND(#REF!,"AAAAAHt79lI=")</f>
        <v>#REF!</v>
      </c>
      <c r="CF24" t="e">
        <f>AND(#REF!,"AAAAAHt79lM=")</f>
        <v>#REF!</v>
      </c>
      <c r="CG24" t="e">
        <f>AND(#REF!,"AAAAAHt79lQ=")</f>
        <v>#REF!</v>
      </c>
      <c r="CH24" t="e">
        <f>AND(#REF!,"AAAAAHt79lU=")</f>
        <v>#REF!</v>
      </c>
      <c r="CI24" t="e">
        <f>AND(#REF!,"AAAAAHt79lY=")</f>
        <v>#REF!</v>
      </c>
      <c r="CJ24" t="e">
        <f>AND(#REF!,"AAAAAHt79lc=")</f>
        <v>#REF!</v>
      </c>
      <c r="CK24" t="e">
        <f>AND(#REF!,"AAAAAHt79lg=")</f>
        <v>#REF!</v>
      </c>
      <c r="CL24" t="e">
        <f>AND(#REF!,"AAAAAHt79lk=")</f>
        <v>#REF!</v>
      </c>
      <c r="CM24" t="e">
        <f>AND(#REF!,"AAAAAHt79lo=")</f>
        <v>#REF!</v>
      </c>
      <c r="CN24" t="e">
        <f>AND(#REF!,"AAAAAHt79ls=")</f>
        <v>#REF!</v>
      </c>
      <c r="CO24" t="e">
        <f>AND(#REF!,"AAAAAHt79lw=")</f>
        <v>#REF!</v>
      </c>
      <c r="CP24" t="e">
        <f>AND(#REF!,"AAAAAHt79l0=")</f>
        <v>#REF!</v>
      </c>
      <c r="CQ24" t="e">
        <f>AND(#REF!,"AAAAAHt79l4=")</f>
        <v>#REF!</v>
      </c>
      <c r="CR24" t="e">
        <f>IF(#REF!,"AAAAAHt79l8=",0)</f>
        <v>#REF!</v>
      </c>
      <c r="CS24" t="e">
        <f>AND(#REF!,"AAAAAHt79mA=")</f>
        <v>#REF!</v>
      </c>
      <c r="CT24" t="e">
        <f>AND(#REF!,"AAAAAHt79mE=")</f>
        <v>#REF!</v>
      </c>
      <c r="CU24" t="e">
        <f>AND(#REF!,"AAAAAHt79mI=")</f>
        <v>#REF!</v>
      </c>
      <c r="CV24" t="e">
        <f>AND(#REF!,"AAAAAHt79mM=")</f>
        <v>#REF!</v>
      </c>
      <c r="CW24" t="e">
        <f>AND(#REF!,"AAAAAHt79mQ=")</f>
        <v>#REF!</v>
      </c>
      <c r="CX24" t="e">
        <f>AND(#REF!,"AAAAAHt79mU=")</f>
        <v>#REF!</v>
      </c>
      <c r="CY24" t="e">
        <f>AND(#REF!,"AAAAAHt79mY=")</f>
        <v>#REF!</v>
      </c>
      <c r="CZ24" t="e">
        <f>AND(#REF!,"AAAAAHt79mc=")</f>
        <v>#REF!</v>
      </c>
      <c r="DA24" t="e">
        <f>AND(#REF!,"AAAAAHt79mg=")</f>
        <v>#REF!</v>
      </c>
      <c r="DB24" t="e">
        <f>AND(#REF!,"AAAAAHt79mk=")</f>
        <v>#REF!</v>
      </c>
      <c r="DC24" t="e">
        <f>AND(#REF!,"AAAAAHt79mo=")</f>
        <v>#REF!</v>
      </c>
      <c r="DD24" t="e">
        <f>AND(#REF!,"AAAAAHt79ms=")</f>
        <v>#REF!</v>
      </c>
      <c r="DE24" t="e">
        <f>AND(#REF!,"AAAAAHt79mw=")</f>
        <v>#REF!</v>
      </c>
      <c r="DF24" t="e">
        <f>AND(#REF!,"AAAAAHt79m0=")</f>
        <v>#REF!</v>
      </c>
      <c r="DG24" t="e">
        <f>AND(#REF!,"AAAAAHt79m4=")</f>
        <v>#REF!</v>
      </c>
      <c r="DH24" t="e">
        <f>AND(#REF!,"AAAAAHt79m8=")</f>
        <v>#REF!</v>
      </c>
      <c r="DI24" t="e">
        <f>AND(#REF!,"AAAAAHt79nA=")</f>
        <v>#REF!</v>
      </c>
      <c r="DJ24" t="e">
        <f>AND(#REF!,"AAAAAHt79nE=")</f>
        <v>#REF!</v>
      </c>
      <c r="DK24" t="e">
        <f>AND(#REF!,"AAAAAHt79nI=")</f>
        <v>#REF!</v>
      </c>
      <c r="DL24" t="e">
        <f>AND(#REF!,"AAAAAHt79nM=")</f>
        <v>#REF!</v>
      </c>
      <c r="DM24" t="e">
        <f>AND(#REF!,"AAAAAHt79nQ=")</f>
        <v>#REF!</v>
      </c>
      <c r="DN24" t="e">
        <f>AND(#REF!,"AAAAAHt79nU=")</f>
        <v>#REF!</v>
      </c>
      <c r="DO24" t="e">
        <f>AND(#REF!,"AAAAAHt79nY=")</f>
        <v>#REF!</v>
      </c>
      <c r="DP24" t="e">
        <f>AND(#REF!,"AAAAAHt79nc=")</f>
        <v>#REF!</v>
      </c>
      <c r="DQ24" t="e">
        <f>AND(#REF!,"AAAAAHt79ng=")</f>
        <v>#REF!</v>
      </c>
      <c r="DR24" t="e">
        <f>AND(#REF!,"AAAAAHt79nk=")</f>
        <v>#REF!</v>
      </c>
      <c r="DS24" t="e">
        <f>AND(#REF!,"AAAAAHt79no=")</f>
        <v>#REF!</v>
      </c>
      <c r="DT24" t="e">
        <f>AND(#REF!,"AAAAAHt79ns=")</f>
        <v>#REF!</v>
      </c>
      <c r="DU24" t="e">
        <f>AND(#REF!,"AAAAAHt79nw=")</f>
        <v>#REF!</v>
      </c>
      <c r="DV24" t="e">
        <f>AND(#REF!,"AAAAAHt79n0=")</f>
        <v>#REF!</v>
      </c>
      <c r="DW24" t="e">
        <f>AND(#REF!,"AAAAAHt79n4=")</f>
        <v>#REF!</v>
      </c>
      <c r="DX24" t="e">
        <f>AND(#REF!,"AAAAAHt79n8=")</f>
        <v>#REF!</v>
      </c>
      <c r="DY24" t="e">
        <f>AND(#REF!,"AAAAAHt79oA=")</f>
        <v>#REF!</v>
      </c>
      <c r="DZ24" t="e">
        <f>AND(#REF!,"AAAAAHt79oE=")</f>
        <v>#REF!</v>
      </c>
      <c r="EA24" t="e">
        <f>AND(#REF!,"AAAAAHt79oI=")</f>
        <v>#REF!</v>
      </c>
      <c r="EB24" t="e">
        <f>AND(#REF!,"AAAAAHt79oM=")</f>
        <v>#REF!</v>
      </c>
      <c r="EC24" t="e">
        <f>AND(#REF!,"AAAAAHt79oQ=")</f>
        <v>#REF!</v>
      </c>
      <c r="ED24" t="e">
        <f>AND(#REF!,"AAAAAHt79oU=")</f>
        <v>#REF!</v>
      </c>
      <c r="EE24" t="e">
        <f>AND(#REF!,"AAAAAHt79oY=")</f>
        <v>#REF!</v>
      </c>
      <c r="EF24" t="e">
        <f>AND(#REF!,"AAAAAHt79oc=")</f>
        <v>#REF!</v>
      </c>
      <c r="EG24" t="e">
        <f>AND(#REF!,"AAAAAHt79og=")</f>
        <v>#REF!</v>
      </c>
      <c r="EH24" t="e">
        <f>AND(#REF!,"AAAAAHt79ok=")</f>
        <v>#REF!</v>
      </c>
      <c r="EI24" t="e">
        <f>AND(#REF!,"AAAAAHt79oo=")</f>
        <v>#REF!</v>
      </c>
      <c r="EJ24" t="e">
        <f>AND(#REF!,"AAAAAHt79os=")</f>
        <v>#REF!</v>
      </c>
      <c r="EK24" t="e">
        <f>AND(#REF!,"AAAAAHt79ow=")</f>
        <v>#REF!</v>
      </c>
      <c r="EL24" t="e">
        <f>AND(#REF!,"AAAAAHt79o0=")</f>
        <v>#REF!</v>
      </c>
      <c r="EM24" t="e">
        <f>AND(#REF!,"AAAAAHt79o4=")</f>
        <v>#REF!</v>
      </c>
      <c r="EN24" t="e">
        <f>AND(#REF!,"AAAAAHt79o8=")</f>
        <v>#REF!</v>
      </c>
      <c r="EO24" t="e">
        <f>AND(#REF!,"AAAAAHt79pA=")</f>
        <v>#REF!</v>
      </c>
      <c r="EP24" t="e">
        <f>AND(#REF!,"AAAAAHt79pE=")</f>
        <v>#REF!</v>
      </c>
      <c r="EQ24" t="e">
        <f>AND(#REF!,"AAAAAHt79pI=")</f>
        <v>#REF!</v>
      </c>
      <c r="ER24" t="e">
        <f>AND(#REF!,"AAAAAHt79pM=")</f>
        <v>#REF!</v>
      </c>
      <c r="ES24" t="e">
        <f>AND(#REF!,"AAAAAHt79pQ=")</f>
        <v>#REF!</v>
      </c>
      <c r="ET24" t="e">
        <f>AND(#REF!,"AAAAAHt79pU=")</f>
        <v>#REF!</v>
      </c>
      <c r="EU24" t="e">
        <f>AND(#REF!,"AAAAAHt79pY=")</f>
        <v>#REF!</v>
      </c>
      <c r="EV24" t="e">
        <f>AND(#REF!,"AAAAAHt79pc=")</f>
        <v>#REF!</v>
      </c>
      <c r="EW24" t="e">
        <f>AND(#REF!,"AAAAAHt79pg=")</f>
        <v>#REF!</v>
      </c>
      <c r="EX24" t="e">
        <f>AND(#REF!,"AAAAAHt79pk=")</f>
        <v>#REF!</v>
      </c>
      <c r="EY24" t="e">
        <f>AND(#REF!,"AAAAAHt79po=")</f>
        <v>#REF!</v>
      </c>
      <c r="EZ24" t="e">
        <f>AND(#REF!,"AAAAAHt79ps=")</f>
        <v>#REF!</v>
      </c>
      <c r="FA24" t="e">
        <f>AND(#REF!,"AAAAAHt79pw=")</f>
        <v>#REF!</v>
      </c>
      <c r="FB24" t="e">
        <f>AND(#REF!,"AAAAAHt79p0=")</f>
        <v>#REF!</v>
      </c>
      <c r="FC24" t="e">
        <f>AND(#REF!,"AAAAAHt79p4=")</f>
        <v>#REF!</v>
      </c>
      <c r="FD24" t="e">
        <f>AND(#REF!,"AAAAAHt79p8=")</f>
        <v>#REF!</v>
      </c>
      <c r="FE24" t="e">
        <f>AND(#REF!,"AAAAAHt79qA=")</f>
        <v>#REF!</v>
      </c>
      <c r="FF24" t="e">
        <f>AND(#REF!,"AAAAAHt79qE=")</f>
        <v>#REF!</v>
      </c>
      <c r="FG24" t="e">
        <f>AND(#REF!,"AAAAAHt79qI=")</f>
        <v>#REF!</v>
      </c>
      <c r="FH24" t="e">
        <f>AND(#REF!,"AAAAAHt79qM=")</f>
        <v>#REF!</v>
      </c>
      <c r="FI24" t="e">
        <f>AND(#REF!,"AAAAAHt79qQ=")</f>
        <v>#REF!</v>
      </c>
      <c r="FJ24" t="e">
        <f>AND(#REF!,"AAAAAHt79qU=")</f>
        <v>#REF!</v>
      </c>
      <c r="FK24" t="e">
        <f>AND(#REF!,"AAAAAHt79qY=")</f>
        <v>#REF!</v>
      </c>
      <c r="FL24" t="e">
        <f>AND(#REF!,"AAAAAHt79qc=")</f>
        <v>#REF!</v>
      </c>
      <c r="FM24" t="e">
        <f>AND(#REF!,"AAAAAHt79qg=")</f>
        <v>#REF!</v>
      </c>
      <c r="FN24" t="e">
        <f>AND(#REF!,"AAAAAHt79qk=")</f>
        <v>#REF!</v>
      </c>
      <c r="FO24" t="e">
        <f>AND(#REF!,"AAAAAHt79qo=")</f>
        <v>#REF!</v>
      </c>
      <c r="FP24" t="e">
        <f>AND(#REF!,"AAAAAHt79qs=")</f>
        <v>#REF!</v>
      </c>
      <c r="FQ24" t="e">
        <f>AND(#REF!,"AAAAAHt79qw=")</f>
        <v>#REF!</v>
      </c>
      <c r="FR24" t="e">
        <f>AND(#REF!,"AAAAAHt79q0=")</f>
        <v>#REF!</v>
      </c>
      <c r="FS24" t="e">
        <f>AND(#REF!,"AAAAAHt79q4=")</f>
        <v>#REF!</v>
      </c>
      <c r="FT24" t="e">
        <f>AND(#REF!,"AAAAAHt79q8=")</f>
        <v>#REF!</v>
      </c>
      <c r="FU24" t="e">
        <f>AND(#REF!,"AAAAAHt79rA=")</f>
        <v>#REF!</v>
      </c>
      <c r="FV24" t="e">
        <f>AND(#REF!,"AAAAAHt79rE=")</f>
        <v>#REF!</v>
      </c>
      <c r="FW24" t="e">
        <f>AND(#REF!,"AAAAAHt79rI=")</f>
        <v>#REF!</v>
      </c>
      <c r="FX24" t="e">
        <f>AND(#REF!,"AAAAAHt79rM=")</f>
        <v>#REF!</v>
      </c>
      <c r="FY24" t="e">
        <f>AND(#REF!,"AAAAAHt79rQ=")</f>
        <v>#REF!</v>
      </c>
      <c r="FZ24" t="e">
        <f>AND(#REF!,"AAAAAHt79rU=")</f>
        <v>#REF!</v>
      </c>
      <c r="GA24" t="e">
        <f>AND(#REF!,"AAAAAHt79rY=")</f>
        <v>#REF!</v>
      </c>
      <c r="GB24" t="e">
        <f>AND(#REF!,"AAAAAHt79rc=")</f>
        <v>#REF!</v>
      </c>
      <c r="GC24" t="e">
        <f>AND(#REF!,"AAAAAHt79rg=")</f>
        <v>#REF!</v>
      </c>
      <c r="GD24" t="e">
        <f>AND(#REF!,"AAAAAHt79rk=")</f>
        <v>#REF!</v>
      </c>
      <c r="GE24" t="e">
        <f>AND(#REF!,"AAAAAHt79ro=")</f>
        <v>#REF!</v>
      </c>
      <c r="GF24" t="e">
        <f>AND(#REF!,"AAAAAHt79rs=")</f>
        <v>#REF!</v>
      </c>
      <c r="GG24" t="e">
        <f>AND(#REF!,"AAAAAHt79rw=")</f>
        <v>#REF!</v>
      </c>
      <c r="GH24" t="e">
        <f>AND(#REF!,"AAAAAHt79r0=")</f>
        <v>#REF!</v>
      </c>
      <c r="GI24" t="e">
        <f>AND(#REF!,"AAAAAHt79r4=")</f>
        <v>#REF!</v>
      </c>
      <c r="GJ24" t="e">
        <f>AND(#REF!,"AAAAAHt79r8=")</f>
        <v>#REF!</v>
      </c>
      <c r="GK24" t="e">
        <f>AND(#REF!,"AAAAAHt79sA=")</f>
        <v>#REF!</v>
      </c>
      <c r="GL24" t="e">
        <f>AND(#REF!,"AAAAAHt79sE=")</f>
        <v>#REF!</v>
      </c>
      <c r="GM24" t="e">
        <f>AND(#REF!,"AAAAAHt79sI=")</f>
        <v>#REF!</v>
      </c>
      <c r="GN24" t="e">
        <f>AND(#REF!,"AAAAAHt79sM=")</f>
        <v>#REF!</v>
      </c>
      <c r="GO24" t="e">
        <f>AND(#REF!,"AAAAAHt79sQ=")</f>
        <v>#REF!</v>
      </c>
      <c r="GP24" t="e">
        <f>AND(#REF!,"AAAAAHt79sU=")</f>
        <v>#REF!</v>
      </c>
      <c r="GQ24" t="e">
        <f>AND(#REF!,"AAAAAHt79sY=")</f>
        <v>#REF!</v>
      </c>
      <c r="GR24" t="e">
        <f>AND(#REF!,"AAAAAHt79sc=")</f>
        <v>#REF!</v>
      </c>
      <c r="GS24" t="e">
        <f>AND(#REF!,"AAAAAHt79sg=")</f>
        <v>#REF!</v>
      </c>
      <c r="GT24" t="e">
        <f>AND(#REF!,"AAAAAHt79sk=")</f>
        <v>#REF!</v>
      </c>
      <c r="GU24" t="e">
        <f>AND(#REF!,"AAAAAHt79so=")</f>
        <v>#REF!</v>
      </c>
      <c r="GV24" t="e">
        <f>AND(#REF!,"AAAAAHt79ss=")</f>
        <v>#REF!</v>
      </c>
      <c r="GW24" t="e">
        <f>AND(#REF!,"AAAAAHt79sw=")</f>
        <v>#REF!</v>
      </c>
      <c r="GX24" t="e">
        <f>AND(#REF!,"AAAAAHt79s0=")</f>
        <v>#REF!</v>
      </c>
      <c r="GY24" t="e">
        <f>AND(#REF!,"AAAAAHt79s4=")</f>
        <v>#REF!</v>
      </c>
      <c r="GZ24" t="e">
        <f>AND(#REF!,"AAAAAHt79s8=")</f>
        <v>#REF!</v>
      </c>
      <c r="HA24" t="e">
        <f>AND(#REF!,"AAAAAHt79tA=")</f>
        <v>#REF!</v>
      </c>
      <c r="HB24" t="e">
        <f>AND(#REF!,"AAAAAHt79tE=")</f>
        <v>#REF!</v>
      </c>
      <c r="HC24" t="e">
        <f>AND(#REF!,"AAAAAHt79tI=")</f>
        <v>#REF!</v>
      </c>
      <c r="HD24" t="e">
        <f>AND(#REF!,"AAAAAHt79tM=")</f>
        <v>#REF!</v>
      </c>
      <c r="HE24" t="e">
        <f>AND(#REF!,"AAAAAHt79tQ=")</f>
        <v>#REF!</v>
      </c>
      <c r="HF24" t="e">
        <f>AND(#REF!,"AAAAAHt79tU=")</f>
        <v>#REF!</v>
      </c>
      <c r="HG24" t="e">
        <f>AND(#REF!,"AAAAAHt79tY=")</f>
        <v>#REF!</v>
      </c>
      <c r="HH24" t="e">
        <f>AND(#REF!,"AAAAAHt79tc=")</f>
        <v>#REF!</v>
      </c>
      <c r="HI24" t="e">
        <f>AND(#REF!,"AAAAAHt79tg=")</f>
        <v>#REF!</v>
      </c>
      <c r="HJ24" t="e">
        <f>AND(#REF!,"AAAAAHt79tk=")</f>
        <v>#REF!</v>
      </c>
      <c r="HK24" t="e">
        <f>AND(#REF!,"AAAAAHt79to=")</f>
        <v>#REF!</v>
      </c>
      <c r="HL24" t="e">
        <f>AND(#REF!,"AAAAAHt79ts=")</f>
        <v>#REF!</v>
      </c>
      <c r="HM24" t="e">
        <f>AND(#REF!,"AAAAAHt79tw=")</f>
        <v>#REF!</v>
      </c>
      <c r="HN24" t="e">
        <f>AND(#REF!,"AAAAAHt79t0=")</f>
        <v>#REF!</v>
      </c>
      <c r="HO24" t="e">
        <f>AND(#REF!,"AAAAAHt79t4=")</f>
        <v>#REF!</v>
      </c>
      <c r="HP24" t="e">
        <f>AND(#REF!,"AAAAAHt79t8=")</f>
        <v>#REF!</v>
      </c>
      <c r="HQ24" t="e">
        <f>AND(#REF!,"AAAAAHt79uA=")</f>
        <v>#REF!</v>
      </c>
      <c r="HR24" t="e">
        <f>AND(#REF!,"AAAAAHt79uE=")</f>
        <v>#REF!</v>
      </c>
      <c r="HS24" t="e">
        <f>AND(#REF!,"AAAAAHt79uI=")</f>
        <v>#REF!</v>
      </c>
      <c r="HT24" t="e">
        <f>AND(#REF!,"AAAAAHt79uM=")</f>
        <v>#REF!</v>
      </c>
      <c r="HU24" t="e">
        <f>AND(#REF!,"AAAAAHt79uQ=")</f>
        <v>#REF!</v>
      </c>
      <c r="HV24" t="e">
        <f>AND(#REF!,"AAAAAHt79uU=")</f>
        <v>#REF!</v>
      </c>
      <c r="HW24" t="e">
        <f>AND(#REF!,"AAAAAHt79uY=")</f>
        <v>#REF!</v>
      </c>
      <c r="HX24" t="e">
        <f>IF(#REF!,"AAAAAHt79uc=",0)</f>
        <v>#REF!</v>
      </c>
      <c r="HY24" t="e">
        <f>AND(#REF!,"AAAAAHt79ug=")</f>
        <v>#REF!</v>
      </c>
      <c r="HZ24" t="e">
        <f>AND(#REF!,"AAAAAHt79uk=")</f>
        <v>#REF!</v>
      </c>
      <c r="IA24" t="e">
        <f>AND(#REF!,"AAAAAHt79uo=")</f>
        <v>#REF!</v>
      </c>
      <c r="IB24" t="e">
        <f>AND(#REF!,"AAAAAHt79us=")</f>
        <v>#REF!</v>
      </c>
      <c r="IC24" t="e">
        <f>AND(#REF!,"AAAAAHt79uw=")</f>
        <v>#REF!</v>
      </c>
      <c r="ID24" t="e">
        <f>AND(#REF!,"AAAAAHt79u0=")</f>
        <v>#REF!</v>
      </c>
      <c r="IE24" t="e">
        <f>AND(#REF!,"AAAAAHt79u4=")</f>
        <v>#REF!</v>
      </c>
      <c r="IF24" t="e">
        <f>AND(#REF!,"AAAAAHt79u8=")</f>
        <v>#REF!</v>
      </c>
      <c r="IG24" t="e">
        <f>AND(#REF!,"AAAAAHt79vA=")</f>
        <v>#REF!</v>
      </c>
      <c r="IH24" t="e">
        <f>AND(#REF!,"AAAAAHt79vE=")</f>
        <v>#REF!</v>
      </c>
      <c r="II24" t="e">
        <f>AND(#REF!,"AAAAAHt79vI=")</f>
        <v>#REF!</v>
      </c>
      <c r="IJ24" t="e">
        <f>AND(#REF!,"AAAAAHt79vM=")</f>
        <v>#REF!</v>
      </c>
      <c r="IK24" t="e">
        <f>AND(#REF!,"AAAAAHt79vQ=")</f>
        <v>#REF!</v>
      </c>
      <c r="IL24" t="e">
        <f>AND(#REF!,"AAAAAHt79vU=")</f>
        <v>#REF!</v>
      </c>
      <c r="IM24" t="e">
        <f>AND(#REF!,"AAAAAHt79vY=")</f>
        <v>#REF!</v>
      </c>
      <c r="IN24" t="e">
        <f>AND(#REF!,"AAAAAHt79vc=")</f>
        <v>#REF!</v>
      </c>
      <c r="IO24" t="e">
        <f>AND(#REF!,"AAAAAHt79vg=")</f>
        <v>#REF!</v>
      </c>
      <c r="IP24" t="e">
        <f>AND(#REF!,"AAAAAHt79vk=")</f>
        <v>#REF!</v>
      </c>
      <c r="IQ24" t="e">
        <f>AND(#REF!,"AAAAAHt79vo=")</f>
        <v>#REF!</v>
      </c>
      <c r="IR24" t="e">
        <f>AND(#REF!,"AAAAAHt79vs=")</f>
        <v>#REF!</v>
      </c>
      <c r="IS24" t="e">
        <f>AND(#REF!,"AAAAAHt79vw=")</f>
        <v>#REF!</v>
      </c>
      <c r="IT24" t="e">
        <f>AND(#REF!,"AAAAAHt79v0=")</f>
        <v>#REF!</v>
      </c>
      <c r="IU24" t="e">
        <f>AND(#REF!,"AAAAAHt79v4=")</f>
        <v>#REF!</v>
      </c>
      <c r="IV24" t="e">
        <f>AND(#REF!,"AAAAAHt79v8=")</f>
        <v>#REF!</v>
      </c>
    </row>
    <row r="25" spans="1:256" ht="15">
      <c r="A25" t="e">
        <f>AND(#REF!,"AAAAAGt9/wA=")</f>
        <v>#REF!</v>
      </c>
      <c r="B25" t="e">
        <f>AND(#REF!,"AAAAAGt9/wE=")</f>
        <v>#REF!</v>
      </c>
      <c r="C25" t="e">
        <f>AND(#REF!,"AAAAAGt9/wI=")</f>
        <v>#REF!</v>
      </c>
      <c r="D25" t="e">
        <f>AND(#REF!,"AAAAAGt9/wM=")</f>
        <v>#REF!</v>
      </c>
      <c r="E25" t="e">
        <f>AND(#REF!,"AAAAAGt9/wQ=")</f>
        <v>#REF!</v>
      </c>
      <c r="F25" t="e">
        <f>AND(#REF!,"AAAAAGt9/wU=")</f>
        <v>#REF!</v>
      </c>
      <c r="G25" t="e">
        <f>AND(#REF!,"AAAAAGt9/wY=")</f>
        <v>#REF!</v>
      </c>
      <c r="H25" t="e">
        <f>AND(#REF!,"AAAAAGt9/wc=")</f>
        <v>#REF!</v>
      </c>
      <c r="I25" t="e">
        <f>AND(#REF!,"AAAAAGt9/wg=")</f>
        <v>#REF!</v>
      </c>
      <c r="J25" t="e">
        <f>AND(#REF!,"AAAAAGt9/wk=")</f>
        <v>#REF!</v>
      </c>
      <c r="K25" t="e">
        <f>AND(#REF!,"AAAAAGt9/wo=")</f>
        <v>#REF!</v>
      </c>
      <c r="L25" t="e">
        <f>AND(#REF!,"AAAAAGt9/ws=")</f>
        <v>#REF!</v>
      </c>
      <c r="M25" t="e">
        <f>AND(#REF!,"AAAAAGt9/ww=")</f>
        <v>#REF!</v>
      </c>
      <c r="N25" t="e">
        <f>AND(#REF!,"AAAAAGt9/w0=")</f>
        <v>#REF!</v>
      </c>
      <c r="O25" t="e">
        <f>AND(#REF!,"AAAAAGt9/w4=")</f>
        <v>#REF!</v>
      </c>
      <c r="P25" t="e">
        <f>AND(#REF!,"AAAAAGt9/w8=")</f>
        <v>#REF!</v>
      </c>
      <c r="Q25" t="e">
        <f>AND(#REF!,"AAAAAGt9/xA=")</f>
        <v>#REF!</v>
      </c>
      <c r="R25" t="e">
        <f>AND(#REF!,"AAAAAGt9/xE=")</f>
        <v>#REF!</v>
      </c>
      <c r="S25" t="e">
        <f>AND(#REF!,"AAAAAGt9/xI=")</f>
        <v>#REF!</v>
      </c>
      <c r="T25" t="e">
        <f>AND(#REF!,"AAAAAGt9/xM=")</f>
        <v>#REF!</v>
      </c>
      <c r="U25" t="e">
        <f>AND(#REF!,"AAAAAGt9/xQ=")</f>
        <v>#REF!</v>
      </c>
      <c r="V25" t="e">
        <f>AND(#REF!,"AAAAAGt9/xU=")</f>
        <v>#REF!</v>
      </c>
      <c r="W25" t="e">
        <f>AND(#REF!,"AAAAAGt9/xY=")</f>
        <v>#REF!</v>
      </c>
      <c r="X25" t="e">
        <f>AND(#REF!,"AAAAAGt9/xc=")</f>
        <v>#REF!</v>
      </c>
      <c r="Y25" t="e">
        <f>AND(#REF!,"AAAAAGt9/xg=")</f>
        <v>#REF!</v>
      </c>
      <c r="Z25" t="e">
        <f>AND(#REF!,"AAAAAGt9/xk=")</f>
        <v>#REF!</v>
      </c>
      <c r="AA25" t="e">
        <f>AND(#REF!,"AAAAAGt9/xo=")</f>
        <v>#REF!</v>
      </c>
      <c r="AB25" t="e">
        <f>AND(#REF!,"AAAAAGt9/xs=")</f>
        <v>#REF!</v>
      </c>
      <c r="AC25" t="e">
        <f>AND(#REF!,"AAAAAGt9/xw=")</f>
        <v>#REF!</v>
      </c>
      <c r="AD25" t="e">
        <f>AND(#REF!,"AAAAAGt9/x0=")</f>
        <v>#REF!</v>
      </c>
      <c r="AE25" t="e">
        <f>AND(#REF!,"AAAAAGt9/x4=")</f>
        <v>#REF!</v>
      </c>
      <c r="AF25" t="e">
        <f>AND(#REF!,"AAAAAGt9/x8=")</f>
        <v>#REF!</v>
      </c>
      <c r="AG25" t="e">
        <f>AND(#REF!,"AAAAAGt9/yA=")</f>
        <v>#REF!</v>
      </c>
      <c r="AH25" t="e">
        <f>AND(#REF!,"AAAAAGt9/yE=")</f>
        <v>#REF!</v>
      </c>
      <c r="AI25" t="e">
        <f>AND(#REF!,"AAAAAGt9/yI=")</f>
        <v>#REF!</v>
      </c>
      <c r="AJ25" t="e">
        <f>AND(#REF!,"AAAAAGt9/yM=")</f>
        <v>#REF!</v>
      </c>
      <c r="AK25" t="e">
        <f>AND(#REF!,"AAAAAGt9/yQ=")</f>
        <v>#REF!</v>
      </c>
      <c r="AL25" t="e">
        <f>AND(#REF!,"AAAAAGt9/yU=")</f>
        <v>#REF!</v>
      </c>
      <c r="AM25" t="e">
        <f>AND(#REF!,"AAAAAGt9/yY=")</f>
        <v>#REF!</v>
      </c>
      <c r="AN25" t="e">
        <f>AND(#REF!,"AAAAAGt9/yc=")</f>
        <v>#REF!</v>
      </c>
      <c r="AO25" t="e">
        <f>AND(#REF!,"AAAAAGt9/yg=")</f>
        <v>#REF!</v>
      </c>
      <c r="AP25" t="e">
        <f>AND(#REF!,"AAAAAGt9/yk=")</f>
        <v>#REF!</v>
      </c>
      <c r="AQ25" t="e">
        <f>AND(#REF!,"AAAAAGt9/yo=")</f>
        <v>#REF!</v>
      </c>
      <c r="AR25" t="e">
        <f>AND(#REF!,"AAAAAGt9/ys=")</f>
        <v>#REF!</v>
      </c>
      <c r="AS25" t="e">
        <f>AND(#REF!,"AAAAAGt9/yw=")</f>
        <v>#REF!</v>
      </c>
      <c r="AT25" t="e">
        <f>AND(#REF!,"AAAAAGt9/y0=")</f>
        <v>#REF!</v>
      </c>
      <c r="AU25" t="e">
        <f>AND(#REF!,"AAAAAGt9/y4=")</f>
        <v>#REF!</v>
      </c>
      <c r="AV25" t="e">
        <f>AND(#REF!,"AAAAAGt9/y8=")</f>
        <v>#REF!</v>
      </c>
      <c r="AW25" t="e">
        <f>AND(#REF!,"AAAAAGt9/zA=")</f>
        <v>#REF!</v>
      </c>
      <c r="AX25" t="e">
        <f>AND(#REF!,"AAAAAGt9/zE=")</f>
        <v>#REF!</v>
      </c>
      <c r="AY25" t="e">
        <f>AND(#REF!,"AAAAAGt9/zI=")</f>
        <v>#REF!</v>
      </c>
      <c r="AZ25" t="e">
        <f>AND(#REF!,"AAAAAGt9/zM=")</f>
        <v>#REF!</v>
      </c>
      <c r="BA25" t="e">
        <f>AND(#REF!,"AAAAAGt9/zQ=")</f>
        <v>#REF!</v>
      </c>
      <c r="BB25" t="e">
        <f>AND(#REF!,"AAAAAGt9/zU=")</f>
        <v>#REF!</v>
      </c>
      <c r="BC25" t="e">
        <f>AND(#REF!,"AAAAAGt9/zY=")</f>
        <v>#REF!</v>
      </c>
      <c r="BD25" t="e">
        <f>AND(#REF!,"AAAAAGt9/zc=")</f>
        <v>#REF!</v>
      </c>
      <c r="BE25" t="e">
        <f>AND(#REF!,"AAAAAGt9/zg=")</f>
        <v>#REF!</v>
      </c>
      <c r="BF25" t="e">
        <f>AND(#REF!,"AAAAAGt9/zk=")</f>
        <v>#REF!</v>
      </c>
      <c r="BG25" t="e">
        <f>AND(#REF!,"AAAAAGt9/zo=")</f>
        <v>#REF!</v>
      </c>
      <c r="BH25" t="e">
        <f>AND(#REF!,"AAAAAGt9/zs=")</f>
        <v>#REF!</v>
      </c>
      <c r="BI25" t="e">
        <f>AND(#REF!,"AAAAAGt9/zw=")</f>
        <v>#REF!</v>
      </c>
      <c r="BJ25" t="e">
        <f>AND(#REF!,"AAAAAGt9/z0=")</f>
        <v>#REF!</v>
      </c>
      <c r="BK25" t="e">
        <f>AND(#REF!,"AAAAAGt9/z4=")</f>
        <v>#REF!</v>
      </c>
      <c r="BL25" t="e">
        <f>AND(#REF!,"AAAAAGt9/z8=")</f>
        <v>#REF!</v>
      </c>
      <c r="BM25" t="e">
        <f>AND(#REF!,"AAAAAGt9/0A=")</f>
        <v>#REF!</v>
      </c>
      <c r="BN25" t="e">
        <f>AND(#REF!,"AAAAAGt9/0E=")</f>
        <v>#REF!</v>
      </c>
      <c r="BO25" t="e">
        <f>AND(#REF!,"AAAAAGt9/0I=")</f>
        <v>#REF!</v>
      </c>
      <c r="BP25" t="e">
        <f>AND(#REF!,"AAAAAGt9/0M=")</f>
        <v>#REF!</v>
      </c>
      <c r="BQ25" t="e">
        <f>AND(#REF!,"AAAAAGt9/0Q=")</f>
        <v>#REF!</v>
      </c>
      <c r="BR25" t="e">
        <f>AND(#REF!,"AAAAAGt9/0U=")</f>
        <v>#REF!</v>
      </c>
      <c r="BS25" t="e">
        <f>AND(#REF!,"AAAAAGt9/0Y=")</f>
        <v>#REF!</v>
      </c>
      <c r="BT25" t="e">
        <f>AND(#REF!,"AAAAAGt9/0c=")</f>
        <v>#REF!</v>
      </c>
      <c r="BU25" t="e">
        <f>AND(#REF!,"AAAAAGt9/0g=")</f>
        <v>#REF!</v>
      </c>
      <c r="BV25" t="e">
        <f>AND(#REF!,"AAAAAGt9/0k=")</f>
        <v>#REF!</v>
      </c>
      <c r="BW25" t="e">
        <f>AND(#REF!,"AAAAAGt9/0o=")</f>
        <v>#REF!</v>
      </c>
      <c r="BX25" t="e">
        <f>AND(#REF!,"AAAAAGt9/0s=")</f>
        <v>#REF!</v>
      </c>
      <c r="BY25" t="e">
        <f>AND(#REF!,"AAAAAGt9/0w=")</f>
        <v>#REF!</v>
      </c>
      <c r="BZ25" t="e">
        <f>AND(#REF!,"AAAAAGt9/00=")</f>
        <v>#REF!</v>
      </c>
      <c r="CA25" t="e">
        <f>AND(#REF!,"AAAAAGt9/04=")</f>
        <v>#REF!</v>
      </c>
      <c r="CB25" t="e">
        <f>AND(#REF!,"AAAAAGt9/08=")</f>
        <v>#REF!</v>
      </c>
      <c r="CC25" t="e">
        <f>AND(#REF!,"AAAAAGt9/1A=")</f>
        <v>#REF!</v>
      </c>
      <c r="CD25" t="e">
        <f>AND(#REF!,"AAAAAGt9/1E=")</f>
        <v>#REF!</v>
      </c>
      <c r="CE25" t="e">
        <f>AND(#REF!,"AAAAAGt9/1I=")</f>
        <v>#REF!</v>
      </c>
      <c r="CF25" t="e">
        <f>AND(#REF!,"AAAAAGt9/1M=")</f>
        <v>#REF!</v>
      </c>
      <c r="CG25" t="e">
        <f>AND(#REF!,"AAAAAGt9/1Q=")</f>
        <v>#REF!</v>
      </c>
      <c r="CH25" t="e">
        <f>AND(#REF!,"AAAAAGt9/1U=")</f>
        <v>#REF!</v>
      </c>
      <c r="CI25" t="e">
        <f>AND(#REF!,"AAAAAGt9/1Y=")</f>
        <v>#REF!</v>
      </c>
      <c r="CJ25" t="e">
        <f>AND(#REF!,"AAAAAGt9/1c=")</f>
        <v>#REF!</v>
      </c>
      <c r="CK25" t="e">
        <f>AND(#REF!,"AAAAAGt9/1g=")</f>
        <v>#REF!</v>
      </c>
      <c r="CL25" t="e">
        <f>AND(#REF!,"AAAAAGt9/1k=")</f>
        <v>#REF!</v>
      </c>
      <c r="CM25" t="e">
        <f>AND(#REF!,"AAAAAGt9/1o=")</f>
        <v>#REF!</v>
      </c>
      <c r="CN25" t="e">
        <f>AND(#REF!,"AAAAAGt9/1s=")</f>
        <v>#REF!</v>
      </c>
      <c r="CO25" t="e">
        <f>AND(#REF!,"AAAAAGt9/1w=")</f>
        <v>#REF!</v>
      </c>
      <c r="CP25" t="e">
        <f>AND(#REF!,"AAAAAGt9/10=")</f>
        <v>#REF!</v>
      </c>
      <c r="CQ25" t="e">
        <f>AND(#REF!,"AAAAAGt9/14=")</f>
        <v>#REF!</v>
      </c>
      <c r="CR25" t="e">
        <f>AND(#REF!,"AAAAAGt9/18=")</f>
        <v>#REF!</v>
      </c>
      <c r="CS25" t="e">
        <f>AND(#REF!,"AAAAAGt9/2A=")</f>
        <v>#REF!</v>
      </c>
      <c r="CT25" t="e">
        <f>AND(#REF!,"AAAAAGt9/2E=")</f>
        <v>#REF!</v>
      </c>
      <c r="CU25" t="e">
        <f>AND(#REF!,"AAAAAGt9/2I=")</f>
        <v>#REF!</v>
      </c>
      <c r="CV25" t="e">
        <f>AND(#REF!,"AAAAAGt9/2M=")</f>
        <v>#REF!</v>
      </c>
      <c r="CW25" t="e">
        <f>AND(#REF!,"AAAAAGt9/2Q=")</f>
        <v>#REF!</v>
      </c>
      <c r="CX25" t="e">
        <f>AND(#REF!,"AAAAAGt9/2U=")</f>
        <v>#REF!</v>
      </c>
      <c r="CY25" t="e">
        <f>AND(#REF!,"AAAAAGt9/2Y=")</f>
        <v>#REF!</v>
      </c>
      <c r="CZ25" t="e">
        <f>AND(#REF!,"AAAAAGt9/2c=")</f>
        <v>#REF!</v>
      </c>
      <c r="DA25" t="e">
        <f>AND(#REF!,"AAAAAGt9/2g=")</f>
        <v>#REF!</v>
      </c>
      <c r="DB25" t="e">
        <f>AND(#REF!,"AAAAAGt9/2k=")</f>
        <v>#REF!</v>
      </c>
      <c r="DC25" t="e">
        <f>AND(#REF!,"AAAAAGt9/2o=")</f>
        <v>#REF!</v>
      </c>
      <c r="DD25" t="e">
        <f>AND(#REF!,"AAAAAGt9/2s=")</f>
        <v>#REF!</v>
      </c>
      <c r="DE25" t="e">
        <f>AND(#REF!,"AAAAAGt9/2w=")</f>
        <v>#REF!</v>
      </c>
      <c r="DF25" t="e">
        <f>AND(#REF!,"AAAAAGt9/20=")</f>
        <v>#REF!</v>
      </c>
      <c r="DG25" t="e">
        <f>AND(#REF!,"AAAAAGt9/24=")</f>
        <v>#REF!</v>
      </c>
      <c r="DH25" t="e">
        <f>IF(#REF!,"AAAAAGt9/28=",0)</f>
        <v>#REF!</v>
      </c>
      <c r="DI25" t="e">
        <f>AND(#REF!,"AAAAAGt9/3A=")</f>
        <v>#REF!</v>
      </c>
      <c r="DJ25" t="e">
        <f>AND(#REF!,"AAAAAGt9/3E=")</f>
        <v>#REF!</v>
      </c>
      <c r="DK25" t="e">
        <f>AND(#REF!,"AAAAAGt9/3I=")</f>
        <v>#REF!</v>
      </c>
      <c r="DL25" t="e">
        <f>AND(#REF!,"AAAAAGt9/3M=")</f>
        <v>#REF!</v>
      </c>
      <c r="DM25" t="e">
        <f>AND(#REF!,"AAAAAGt9/3Q=")</f>
        <v>#REF!</v>
      </c>
      <c r="DN25" t="e">
        <f>AND(#REF!,"AAAAAGt9/3U=")</f>
        <v>#REF!</v>
      </c>
      <c r="DO25" t="e">
        <f>AND(#REF!,"AAAAAGt9/3Y=")</f>
        <v>#REF!</v>
      </c>
      <c r="DP25" t="e">
        <f>AND(#REF!,"AAAAAGt9/3c=")</f>
        <v>#REF!</v>
      </c>
      <c r="DQ25" t="e">
        <f>AND(#REF!,"AAAAAGt9/3g=")</f>
        <v>#REF!</v>
      </c>
      <c r="DR25" t="e">
        <f>AND(#REF!,"AAAAAGt9/3k=")</f>
        <v>#REF!</v>
      </c>
      <c r="DS25" t="e">
        <f>AND(#REF!,"AAAAAGt9/3o=")</f>
        <v>#REF!</v>
      </c>
      <c r="DT25" t="e">
        <f>AND(#REF!,"AAAAAGt9/3s=")</f>
        <v>#REF!</v>
      </c>
      <c r="DU25" t="e">
        <f>AND(#REF!,"AAAAAGt9/3w=")</f>
        <v>#REF!</v>
      </c>
      <c r="DV25" t="e">
        <f>AND(#REF!,"AAAAAGt9/30=")</f>
        <v>#REF!</v>
      </c>
      <c r="DW25" t="e">
        <f>AND(#REF!,"AAAAAGt9/34=")</f>
        <v>#REF!</v>
      </c>
      <c r="DX25" t="e">
        <f>AND(#REF!,"AAAAAGt9/38=")</f>
        <v>#REF!</v>
      </c>
      <c r="DY25" t="e">
        <f>AND(#REF!,"AAAAAGt9/4A=")</f>
        <v>#REF!</v>
      </c>
      <c r="DZ25" t="e">
        <f>AND(#REF!,"AAAAAGt9/4E=")</f>
        <v>#REF!</v>
      </c>
      <c r="EA25" t="e">
        <f>AND(#REF!,"AAAAAGt9/4I=")</f>
        <v>#REF!</v>
      </c>
      <c r="EB25" t="e">
        <f>AND(#REF!,"AAAAAGt9/4M=")</f>
        <v>#REF!</v>
      </c>
      <c r="EC25" t="e">
        <f>AND(#REF!,"AAAAAGt9/4Q=")</f>
        <v>#REF!</v>
      </c>
      <c r="ED25" t="e">
        <f>AND(#REF!,"AAAAAGt9/4U=")</f>
        <v>#REF!</v>
      </c>
      <c r="EE25" t="e">
        <f>AND(#REF!,"AAAAAGt9/4Y=")</f>
        <v>#REF!</v>
      </c>
      <c r="EF25" t="e">
        <f>AND(#REF!,"AAAAAGt9/4c=")</f>
        <v>#REF!</v>
      </c>
      <c r="EG25" t="e">
        <f>AND(#REF!,"AAAAAGt9/4g=")</f>
        <v>#REF!</v>
      </c>
      <c r="EH25" t="e">
        <f>AND(#REF!,"AAAAAGt9/4k=")</f>
        <v>#REF!</v>
      </c>
      <c r="EI25" t="e">
        <f>AND(#REF!,"AAAAAGt9/4o=")</f>
        <v>#REF!</v>
      </c>
      <c r="EJ25" t="e">
        <f>AND(#REF!,"AAAAAGt9/4s=")</f>
        <v>#REF!</v>
      </c>
      <c r="EK25" t="e">
        <f>AND(#REF!,"AAAAAGt9/4w=")</f>
        <v>#REF!</v>
      </c>
      <c r="EL25" t="e">
        <f>AND(#REF!,"AAAAAGt9/40=")</f>
        <v>#REF!</v>
      </c>
      <c r="EM25" t="e">
        <f>AND(#REF!,"AAAAAGt9/44=")</f>
        <v>#REF!</v>
      </c>
      <c r="EN25" t="e">
        <f>AND(#REF!,"AAAAAGt9/48=")</f>
        <v>#REF!</v>
      </c>
      <c r="EO25" t="e">
        <f>AND(#REF!,"AAAAAGt9/5A=")</f>
        <v>#REF!</v>
      </c>
      <c r="EP25" t="e">
        <f>AND(#REF!,"AAAAAGt9/5E=")</f>
        <v>#REF!</v>
      </c>
      <c r="EQ25" t="e">
        <f>AND(#REF!,"AAAAAGt9/5I=")</f>
        <v>#REF!</v>
      </c>
      <c r="ER25" t="e">
        <f>AND(#REF!,"AAAAAGt9/5M=")</f>
        <v>#REF!</v>
      </c>
      <c r="ES25" t="e">
        <f>AND(#REF!,"AAAAAGt9/5Q=")</f>
        <v>#REF!</v>
      </c>
      <c r="ET25" t="e">
        <f>AND(#REF!,"AAAAAGt9/5U=")</f>
        <v>#REF!</v>
      </c>
      <c r="EU25" t="e">
        <f>AND(#REF!,"AAAAAGt9/5Y=")</f>
        <v>#REF!</v>
      </c>
      <c r="EV25" t="e">
        <f>AND(#REF!,"AAAAAGt9/5c=")</f>
        <v>#REF!</v>
      </c>
      <c r="EW25" t="e">
        <f>AND(#REF!,"AAAAAGt9/5g=")</f>
        <v>#REF!</v>
      </c>
      <c r="EX25" t="e">
        <f>AND(#REF!,"AAAAAGt9/5k=")</f>
        <v>#REF!</v>
      </c>
      <c r="EY25" t="e">
        <f>AND(#REF!,"AAAAAGt9/5o=")</f>
        <v>#REF!</v>
      </c>
      <c r="EZ25" t="e">
        <f>AND(#REF!,"AAAAAGt9/5s=")</f>
        <v>#REF!</v>
      </c>
      <c r="FA25" t="e">
        <f>AND(#REF!,"AAAAAGt9/5w=")</f>
        <v>#REF!</v>
      </c>
      <c r="FB25" t="e">
        <f>AND(#REF!,"AAAAAGt9/50=")</f>
        <v>#REF!</v>
      </c>
      <c r="FC25" t="e">
        <f>AND(#REF!,"AAAAAGt9/54=")</f>
        <v>#REF!</v>
      </c>
      <c r="FD25" t="e">
        <f>AND(#REF!,"AAAAAGt9/58=")</f>
        <v>#REF!</v>
      </c>
      <c r="FE25" t="e">
        <f>AND(#REF!,"AAAAAGt9/6A=")</f>
        <v>#REF!</v>
      </c>
      <c r="FF25" t="e">
        <f>AND(#REF!,"AAAAAGt9/6E=")</f>
        <v>#REF!</v>
      </c>
      <c r="FG25" t="e">
        <f>AND(#REF!,"AAAAAGt9/6I=")</f>
        <v>#REF!</v>
      </c>
      <c r="FH25" t="e">
        <f>AND(#REF!,"AAAAAGt9/6M=")</f>
        <v>#REF!</v>
      </c>
      <c r="FI25" t="e">
        <f>AND(#REF!,"AAAAAGt9/6Q=")</f>
        <v>#REF!</v>
      </c>
      <c r="FJ25" t="e">
        <f>AND(#REF!,"AAAAAGt9/6U=")</f>
        <v>#REF!</v>
      </c>
      <c r="FK25" t="e">
        <f>AND(#REF!,"AAAAAGt9/6Y=")</f>
        <v>#REF!</v>
      </c>
      <c r="FL25" t="e">
        <f>AND(#REF!,"AAAAAGt9/6c=")</f>
        <v>#REF!</v>
      </c>
      <c r="FM25" t="e">
        <f>AND(#REF!,"AAAAAGt9/6g=")</f>
        <v>#REF!</v>
      </c>
      <c r="FN25" t="e">
        <f>AND(#REF!,"AAAAAGt9/6k=")</f>
        <v>#REF!</v>
      </c>
      <c r="FO25" t="e">
        <f>AND(#REF!,"AAAAAGt9/6o=")</f>
        <v>#REF!</v>
      </c>
      <c r="FP25" t="e">
        <f>AND(#REF!,"AAAAAGt9/6s=")</f>
        <v>#REF!</v>
      </c>
      <c r="FQ25" t="e">
        <f>AND(#REF!,"AAAAAGt9/6w=")</f>
        <v>#REF!</v>
      </c>
      <c r="FR25" t="e">
        <f>AND(#REF!,"AAAAAGt9/60=")</f>
        <v>#REF!</v>
      </c>
      <c r="FS25" t="e">
        <f>AND(#REF!,"AAAAAGt9/64=")</f>
        <v>#REF!</v>
      </c>
      <c r="FT25" t="e">
        <f>AND(#REF!,"AAAAAGt9/68=")</f>
        <v>#REF!</v>
      </c>
      <c r="FU25" t="e">
        <f>AND(#REF!,"AAAAAGt9/7A=")</f>
        <v>#REF!</v>
      </c>
      <c r="FV25" t="e">
        <f>AND(#REF!,"AAAAAGt9/7E=")</f>
        <v>#REF!</v>
      </c>
      <c r="FW25" t="e">
        <f>AND(#REF!,"AAAAAGt9/7I=")</f>
        <v>#REF!</v>
      </c>
      <c r="FX25" t="e">
        <f>AND(#REF!,"AAAAAGt9/7M=")</f>
        <v>#REF!</v>
      </c>
      <c r="FY25" t="e">
        <f>AND(#REF!,"AAAAAGt9/7Q=")</f>
        <v>#REF!</v>
      </c>
      <c r="FZ25" t="e">
        <f>AND(#REF!,"AAAAAGt9/7U=")</f>
        <v>#REF!</v>
      </c>
      <c r="GA25" t="e">
        <f>AND(#REF!,"AAAAAGt9/7Y=")</f>
        <v>#REF!</v>
      </c>
      <c r="GB25" t="e">
        <f>AND(#REF!,"AAAAAGt9/7c=")</f>
        <v>#REF!</v>
      </c>
      <c r="GC25" t="e">
        <f>AND(#REF!,"AAAAAGt9/7g=")</f>
        <v>#REF!</v>
      </c>
      <c r="GD25" t="e">
        <f>AND(#REF!,"AAAAAGt9/7k=")</f>
        <v>#REF!</v>
      </c>
      <c r="GE25" t="e">
        <f>AND(#REF!,"AAAAAGt9/7o=")</f>
        <v>#REF!</v>
      </c>
      <c r="GF25" t="e">
        <f>AND(#REF!,"AAAAAGt9/7s=")</f>
        <v>#REF!</v>
      </c>
      <c r="GG25" t="e">
        <f>AND(#REF!,"AAAAAGt9/7w=")</f>
        <v>#REF!</v>
      </c>
      <c r="GH25" t="e">
        <f>AND(#REF!,"AAAAAGt9/70=")</f>
        <v>#REF!</v>
      </c>
      <c r="GI25" t="e">
        <f>AND(#REF!,"AAAAAGt9/74=")</f>
        <v>#REF!</v>
      </c>
      <c r="GJ25" t="e">
        <f>AND(#REF!,"AAAAAGt9/78=")</f>
        <v>#REF!</v>
      </c>
      <c r="GK25" t="e">
        <f>AND(#REF!,"AAAAAGt9/8A=")</f>
        <v>#REF!</v>
      </c>
      <c r="GL25" t="e">
        <f>AND(#REF!,"AAAAAGt9/8E=")</f>
        <v>#REF!</v>
      </c>
      <c r="GM25" t="e">
        <f>AND(#REF!,"AAAAAGt9/8I=")</f>
        <v>#REF!</v>
      </c>
      <c r="GN25" t="e">
        <f>AND(#REF!,"AAAAAGt9/8M=")</f>
        <v>#REF!</v>
      </c>
      <c r="GO25" t="e">
        <f>AND(#REF!,"AAAAAGt9/8Q=")</f>
        <v>#REF!</v>
      </c>
      <c r="GP25" t="e">
        <f>AND(#REF!,"AAAAAGt9/8U=")</f>
        <v>#REF!</v>
      </c>
      <c r="GQ25" t="e">
        <f>AND(#REF!,"AAAAAGt9/8Y=")</f>
        <v>#REF!</v>
      </c>
      <c r="GR25" t="e">
        <f>AND(#REF!,"AAAAAGt9/8c=")</f>
        <v>#REF!</v>
      </c>
      <c r="GS25" t="e">
        <f>AND(#REF!,"AAAAAGt9/8g=")</f>
        <v>#REF!</v>
      </c>
      <c r="GT25" t="e">
        <f>AND(#REF!,"AAAAAGt9/8k=")</f>
        <v>#REF!</v>
      </c>
      <c r="GU25" t="e">
        <f>AND(#REF!,"AAAAAGt9/8o=")</f>
        <v>#REF!</v>
      </c>
      <c r="GV25" t="e">
        <f>AND(#REF!,"AAAAAGt9/8s=")</f>
        <v>#REF!</v>
      </c>
      <c r="GW25" t="e">
        <f>AND(#REF!,"AAAAAGt9/8w=")</f>
        <v>#REF!</v>
      </c>
      <c r="GX25" t="e">
        <f>AND(#REF!,"AAAAAGt9/80=")</f>
        <v>#REF!</v>
      </c>
      <c r="GY25" t="e">
        <f>AND(#REF!,"AAAAAGt9/84=")</f>
        <v>#REF!</v>
      </c>
      <c r="GZ25" t="e">
        <f>AND(#REF!,"AAAAAGt9/88=")</f>
        <v>#REF!</v>
      </c>
      <c r="HA25" t="e">
        <f>AND(#REF!,"AAAAAGt9/9A=")</f>
        <v>#REF!</v>
      </c>
      <c r="HB25" t="e">
        <f>AND(#REF!,"AAAAAGt9/9E=")</f>
        <v>#REF!</v>
      </c>
      <c r="HC25" t="e">
        <f>AND(#REF!,"AAAAAGt9/9I=")</f>
        <v>#REF!</v>
      </c>
      <c r="HD25" t="e">
        <f>AND(#REF!,"AAAAAGt9/9M=")</f>
        <v>#REF!</v>
      </c>
      <c r="HE25" t="e">
        <f>AND(#REF!,"AAAAAGt9/9Q=")</f>
        <v>#REF!</v>
      </c>
      <c r="HF25" t="e">
        <f>AND(#REF!,"AAAAAGt9/9U=")</f>
        <v>#REF!</v>
      </c>
      <c r="HG25" t="e">
        <f>AND(#REF!,"AAAAAGt9/9Y=")</f>
        <v>#REF!</v>
      </c>
      <c r="HH25" t="e">
        <f>AND(#REF!,"AAAAAGt9/9c=")</f>
        <v>#REF!</v>
      </c>
      <c r="HI25" t="e">
        <f>AND(#REF!,"AAAAAGt9/9g=")</f>
        <v>#REF!</v>
      </c>
      <c r="HJ25" t="e">
        <f>AND(#REF!,"AAAAAGt9/9k=")</f>
        <v>#REF!</v>
      </c>
      <c r="HK25" t="e">
        <f>AND(#REF!,"AAAAAGt9/9o=")</f>
        <v>#REF!</v>
      </c>
      <c r="HL25" t="e">
        <f>AND(#REF!,"AAAAAGt9/9s=")</f>
        <v>#REF!</v>
      </c>
      <c r="HM25" t="e">
        <f>AND(#REF!,"AAAAAGt9/9w=")</f>
        <v>#REF!</v>
      </c>
      <c r="HN25" t="e">
        <f>AND(#REF!,"AAAAAGt9/90=")</f>
        <v>#REF!</v>
      </c>
      <c r="HO25" t="e">
        <f>AND(#REF!,"AAAAAGt9/94=")</f>
        <v>#REF!</v>
      </c>
      <c r="HP25" t="e">
        <f>AND(#REF!,"AAAAAGt9/98=")</f>
        <v>#REF!</v>
      </c>
      <c r="HQ25" t="e">
        <f>AND(#REF!,"AAAAAGt9/+A=")</f>
        <v>#REF!</v>
      </c>
      <c r="HR25" t="e">
        <f>AND(#REF!,"AAAAAGt9/+E=")</f>
        <v>#REF!</v>
      </c>
      <c r="HS25" t="e">
        <f>AND(#REF!,"AAAAAGt9/+I=")</f>
        <v>#REF!</v>
      </c>
      <c r="HT25" t="e">
        <f>AND(#REF!,"AAAAAGt9/+M=")</f>
        <v>#REF!</v>
      </c>
      <c r="HU25" t="e">
        <f>AND(#REF!,"AAAAAGt9/+Q=")</f>
        <v>#REF!</v>
      </c>
      <c r="HV25" t="e">
        <f>AND(#REF!,"AAAAAGt9/+U=")</f>
        <v>#REF!</v>
      </c>
      <c r="HW25" t="e">
        <f>AND(#REF!,"AAAAAGt9/+Y=")</f>
        <v>#REF!</v>
      </c>
      <c r="HX25" t="e">
        <f>AND(#REF!,"AAAAAGt9/+c=")</f>
        <v>#REF!</v>
      </c>
      <c r="HY25" t="e">
        <f>AND(#REF!,"AAAAAGt9/+g=")</f>
        <v>#REF!</v>
      </c>
      <c r="HZ25" t="e">
        <f>AND(#REF!,"AAAAAGt9/+k=")</f>
        <v>#REF!</v>
      </c>
      <c r="IA25" t="e">
        <f>AND(#REF!,"AAAAAGt9/+o=")</f>
        <v>#REF!</v>
      </c>
      <c r="IB25" t="e">
        <f>AND(#REF!,"AAAAAGt9/+s=")</f>
        <v>#REF!</v>
      </c>
      <c r="IC25" t="e">
        <f>AND(#REF!,"AAAAAGt9/+w=")</f>
        <v>#REF!</v>
      </c>
      <c r="ID25" t="e">
        <f>AND(#REF!,"AAAAAGt9/+0=")</f>
        <v>#REF!</v>
      </c>
      <c r="IE25" t="e">
        <f>AND(#REF!,"AAAAAGt9/+4=")</f>
        <v>#REF!</v>
      </c>
      <c r="IF25" t="e">
        <f>AND(#REF!,"AAAAAGt9/+8=")</f>
        <v>#REF!</v>
      </c>
      <c r="IG25" t="e">
        <f>AND(#REF!,"AAAAAGt9//A=")</f>
        <v>#REF!</v>
      </c>
      <c r="IH25" t="e">
        <f>AND(#REF!,"AAAAAGt9//E=")</f>
        <v>#REF!</v>
      </c>
      <c r="II25" t="e">
        <f>AND(#REF!,"AAAAAGt9//I=")</f>
        <v>#REF!</v>
      </c>
      <c r="IJ25" t="e">
        <f>AND(#REF!,"AAAAAGt9//M=")</f>
        <v>#REF!</v>
      </c>
      <c r="IK25" t="e">
        <f>AND(#REF!,"AAAAAGt9//Q=")</f>
        <v>#REF!</v>
      </c>
      <c r="IL25" t="e">
        <f>AND(#REF!,"AAAAAGt9//U=")</f>
        <v>#REF!</v>
      </c>
      <c r="IM25" t="e">
        <f>AND(#REF!,"AAAAAGt9//Y=")</f>
        <v>#REF!</v>
      </c>
      <c r="IN25" t="e">
        <f>IF(#REF!,"AAAAAGt9//c=",0)</f>
        <v>#REF!</v>
      </c>
      <c r="IO25" t="e">
        <f>AND(#REF!,"AAAAAGt9//g=")</f>
        <v>#REF!</v>
      </c>
      <c r="IP25" t="e">
        <f>AND(#REF!,"AAAAAGt9//k=")</f>
        <v>#REF!</v>
      </c>
      <c r="IQ25" t="e">
        <f>AND(#REF!,"AAAAAGt9//o=")</f>
        <v>#REF!</v>
      </c>
      <c r="IR25" t="e">
        <f>AND(#REF!,"AAAAAGt9//s=")</f>
        <v>#REF!</v>
      </c>
      <c r="IS25" t="e">
        <f>AND(#REF!,"AAAAAGt9//w=")</f>
        <v>#REF!</v>
      </c>
      <c r="IT25" t="e">
        <f>AND(#REF!,"AAAAAGt9//0=")</f>
        <v>#REF!</v>
      </c>
      <c r="IU25" t="e">
        <f>AND(#REF!,"AAAAAGt9//4=")</f>
        <v>#REF!</v>
      </c>
      <c r="IV25" t="e">
        <f>AND(#REF!,"AAAAAGt9//8=")</f>
        <v>#REF!</v>
      </c>
    </row>
    <row r="26" spans="1:256" ht="15">
      <c r="A26" t="e">
        <f>AND(#REF!,"AAAAAG7vvQA=")</f>
        <v>#REF!</v>
      </c>
      <c r="B26" t="e">
        <f>AND(#REF!,"AAAAAG7vvQE=")</f>
        <v>#REF!</v>
      </c>
      <c r="C26" t="e">
        <f>AND(#REF!,"AAAAAG7vvQI=")</f>
        <v>#REF!</v>
      </c>
      <c r="D26" t="e">
        <f>AND(#REF!,"AAAAAG7vvQM=")</f>
        <v>#REF!</v>
      </c>
      <c r="E26" t="e">
        <f>AND(#REF!,"AAAAAG7vvQQ=")</f>
        <v>#REF!</v>
      </c>
      <c r="F26" t="e">
        <f>AND(#REF!,"AAAAAG7vvQU=")</f>
        <v>#REF!</v>
      </c>
      <c r="G26" t="e">
        <f>AND(#REF!,"AAAAAG7vvQY=")</f>
        <v>#REF!</v>
      </c>
      <c r="H26" t="e">
        <f>AND(#REF!,"AAAAAG7vvQc=")</f>
        <v>#REF!</v>
      </c>
      <c r="I26" t="e">
        <f>AND(#REF!,"AAAAAG7vvQg=")</f>
        <v>#REF!</v>
      </c>
      <c r="J26" t="e">
        <f>AND(#REF!,"AAAAAG7vvQk=")</f>
        <v>#REF!</v>
      </c>
      <c r="K26" t="e">
        <f>AND(#REF!,"AAAAAG7vvQo=")</f>
        <v>#REF!</v>
      </c>
      <c r="L26" t="e">
        <f>AND(#REF!,"AAAAAG7vvQs=")</f>
        <v>#REF!</v>
      </c>
      <c r="M26" t="e">
        <f>AND(#REF!,"AAAAAG7vvQw=")</f>
        <v>#REF!</v>
      </c>
      <c r="N26" t="e">
        <f>AND(#REF!,"AAAAAG7vvQ0=")</f>
        <v>#REF!</v>
      </c>
      <c r="O26" t="e">
        <f>AND(#REF!,"AAAAAG7vvQ4=")</f>
        <v>#REF!</v>
      </c>
      <c r="P26" t="e">
        <f>AND(#REF!,"AAAAAG7vvQ8=")</f>
        <v>#REF!</v>
      </c>
      <c r="Q26" t="e">
        <f>AND(#REF!,"AAAAAG7vvRA=")</f>
        <v>#REF!</v>
      </c>
      <c r="R26" t="e">
        <f>AND(#REF!,"AAAAAG7vvRE=")</f>
        <v>#REF!</v>
      </c>
      <c r="S26" t="e">
        <f>AND(#REF!,"AAAAAG7vvRI=")</f>
        <v>#REF!</v>
      </c>
      <c r="T26" t="e">
        <f>AND(#REF!,"AAAAAG7vvRM=")</f>
        <v>#REF!</v>
      </c>
      <c r="U26" t="e">
        <f>AND(#REF!,"AAAAAG7vvRQ=")</f>
        <v>#REF!</v>
      </c>
      <c r="V26" t="e">
        <f>AND(#REF!,"AAAAAG7vvRU=")</f>
        <v>#REF!</v>
      </c>
      <c r="W26" t="e">
        <f>AND(#REF!,"AAAAAG7vvRY=")</f>
        <v>#REF!</v>
      </c>
      <c r="X26" t="e">
        <f>AND(#REF!,"AAAAAG7vvRc=")</f>
        <v>#REF!</v>
      </c>
      <c r="Y26" t="e">
        <f>AND(#REF!,"AAAAAG7vvRg=")</f>
        <v>#REF!</v>
      </c>
      <c r="Z26" t="e">
        <f>AND(#REF!,"AAAAAG7vvRk=")</f>
        <v>#REF!</v>
      </c>
      <c r="AA26" t="e">
        <f>AND(#REF!,"AAAAAG7vvRo=")</f>
        <v>#REF!</v>
      </c>
      <c r="AB26" t="e">
        <f>AND(#REF!,"AAAAAG7vvRs=")</f>
        <v>#REF!</v>
      </c>
      <c r="AC26" t="e">
        <f>AND(#REF!,"AAAAAG7vvRw=")</f>
        <v>#REF!</v>
      </c>
      <c r="AD26" t="e">
        <f>AND(#REF!,"AAAAAG7vvR0=")</f>
        <v>#REF!</v>
      </c>
      <c r="AE26" t="e">
        <f>AND(#REF!,"AAAAAG7vvR4=")</f>
        <v>#REF!</v>
      </c>
      <c r="AF26" t="e">
        <f>AND(#REF!,"AAAAAG7vvR8=")</f>
        <v>#REF!</v>
      </c>
      <c r="AG26" t="e">
        <f>AND(#REF!,"AAAAAG7vvSA=")</f>
        <v>#REF!</v>
      </c>
      <c r="AH26" t="e">
        <f>AND(#REF!,"AAAAAG7vvSE=")</f>
        <v>#REF!</v>
      </c>
      <c r="AI26" t="e">
        <f>AND(#REF!,"AAAAAG7vvSI=")</f>
        <v>#REF!</v>
      </c>
      <c r="AJ26" t="e">
        <f>AND(#REF!,"AAAAAG7vvSM=")</f>
        <v>#REF!</v>
      </c>
      <c r="AK26" t="e">
        <f>AND(#REF!,"AAAAAG7vvSQ=")</f>
        <v>#REF!</v>
      </c>
      <c r="AL26" t="e">
        <f>AND(#REF!,"AAAAAG7vvSU=")</f>
        <v>#REF!</v>
      </c>
      <c r="AM26" t="e">
        <f>AND(#REF!,"AAAAAG7vvSY=")</f>
        <v>#REF!</v>
      </c>
      <c r="AN26" t="e">
        <f>AND(#REF!,"AAAAAG7vvSc=")</f>
        <v>#REF!</v>
      </c>
      <c r="AO26" t="e">
        <f>AND(#REF!,"AAAAAG7vvSg=")</f>
        <v>#REF!</v>
      </c>
      <c r="AP26" t="e">
        <f>AND(#REF!,"AAAAAG7vvSk=")</f>
        <v>#REF!</v>
      </c>
      <c r="AQ26" t="e">
        <f>AND(#REF!,"AAAAAG7vvSo=")</f>
        <v>#REF!</v>
      </c>
      <c r="AR26" t="e">
        <f>AND(#REF!,"AAAAAG7vvSs=")</f>
        <v>#REF!</v>
      </c>
      <c r="AS26" t="e">
        <f>AND(#REF!,"AAAAAG7vvSw=")</f>
        <v>#REF!</v>
      </c>
      <c r="AT26" t="e">
        <f>AND(#REF!,"AAAAAG7vvS0=")</f>
        <v>#REF!</v>
      </c>
      <c r="AU26" t="e">
        <f>AND(#REF!,"AAAAAG7vvS4=")</f>
        <v>#REF!</v>
      </c>
      <c r="AV26" t="e">
        <f>AND(#REF!,"AAAAAG7vvS8=")</f>
        <v>#REF!</v>
      </c>
      <c r="AW26" t="e">
        <f>AND(#REF!,"AAAAAG7vvTA=")</f>
        <v>#REF!</v>
      </c>
      <c r="AX26" t="e">
        <f>AND(#REF!,"AAAAAG7vvTE=")</f>
        <v>#REF!</v>
      </c>
      <c r="AY26" t="e">
        <f>AND(#REF!,"AAAAAG7vvTI=")</f>
        <v>#REF!</v>
      </c>
      <c r="AZ26" t="e">
        <f>AND(#REF!,"AAAAAG7vvTM=")</f>
        <v>#REF!</v>
      </c>
      <c r="BA26" t="e">
        <f>AND(#REF!,"AAAAAG7vvTQ=")</f>
        <v>#REF!</v>
      </c>
      <c r="BB26" t="e">
        <f>AND(#REF!,"AAAAAG7vvTU=")</f>
        <v>#REF!</v>
      </c>
      <c r="BC26" t="e">
        <f>AND(#REF!,"AAAAAG7vvTY=")</f>
        <v>#REF!</v>
      </c>
      <c r="BD26" t="e">
        <f>AND(#REF!,"AAAAAG7vvTc=")</f>
        <v>#REF!</v>
      </c>
      <c r="BE26" t="e">
        <f>AND(#REF!,"AAAAAG7vvTg=")</f>
        <v>#REF!</v>
      </c>
      <c r="BF26" t="e">
        <f>AND(#REF!,"AAAAAG7vvTk=")</f>
        <v>#REF!</v>
      </c>
      <c r="BG26" t="e">
        <f>AND(#REF!,"AAAAAG7vvTo=")</f>
        <v>#REF!</v>
      </c>
      <c r="BH26" t="e">
        <f>AND(#REF!,"AAAAAG7vvTs=")</f>
        <v>#REF!</v>
      </c>
      <c r="BI26" t="e">
        <f>AND(#REF!,"AAAAAG7vvTw=")</f>
        <v>#REF!</v>
      </c>
      <c r="BJ26" t="e">
        <f>AND(#REF!,"AAAAAG7vvT0=")</f>
        <v>#REF!</v>
      </c>
      <c r="BK26" t="e">
        <f>AND(#REF!,"AAAAAG7vvT4=")</f>
        <v>#REF!</v>
      </c>
      <c r="BL26" t="e">
        <f>AND(#REF!,"AAAAAG7vvT8=")</f>
        <v>#REF!</v>
      </c>
      <c r="BM26" t="e">
        <f>AND(#REF!,"AAAAAG7vvUA=")</f>
        <v>#REF!</v>
      </c>
      <c r="BN26" t="e">
        <f>AND(#REF!,"AAAAAG7vvUE=")</f>
        <v>#REF!</v>
      </c>
      <c r="BO26" t="e">
        <f>AND(#REF!,"AAAAAG7vvUI=")</f>
        <v>#REF!</v>
      </c>
      <c r="BP26" t="e">
        <f>AND(#REF!,"AAAAAG7vvUM=")</f>
        <v>#REF!</v>
      </c>
      <c r="BQ26" t="e">
        <f>AND(#REF!,"AAAAAG7vvUQ=")</f>
        <v>#REF!</v>
      </c>
      <c r="BR26" t="e">
        <f>AND(#REF!,"AAAAAG7vvUU=")</f>
        <v>#REF!</v>
      </c>
      <c r="BS26" t="e">
        <f>AND(#REF!,"AAAAAG7vvUY=")</f>
        <v>#REF!</v>
      </c>
      <c r="BT26" t="e">
        <f>AND(#REF!,"AAAAAG7vvUc=")</f>
        <v>#REF!</v>
      </c>
      <c r="BU26" t="e">
        <f>AND(#REF!,"AAAAAG7vvUg=")</f>
        <v>#REF!</v>
      </c>
      <c r="BV26" t="e">
        <f>AND(#REF!,"AAAAAG7vvUk=")</f>
        <v>#REF!</v>
      </c>
      <c r="BW26" t="e">
        <f>AND(#REF!,"AAAAAG7vvUo=")</f>
        <v>#REF!</v>
      </c>
      <c r="BX26" t="e">
        <f>AND(#REF!,"AAAAAG7vvUs=")</f>
        <v>#REF!</v>
      </c>
      <c r="BY26" t="e">
        <f>AND(#REF!,"AAAAAG7vvUw=")</f>
        <v>#REF!</v>
      </c>
      <c r="BZ26" t="e">
        <f>AND(#REF!,"AAAAAG7vvU0=")</f>
        <v>#REF!</v>
      </c>
      <c r="CA26" t="e">
        <f>AND(#REF!,"AAAAAG7vvU4=")</f>
        <v>#REF!</v>
      </c>
      <c r="CB26" t="e">
        <f>AND(#REF!,"AAAAAG7vvU8=")</f>
        <v>#REF!</v>
      </c>
      <c r="CC26" t="e">
        <f>AND(#REF!,"AAAAAG7vvVA=")</f>
        <v>#REF!</v>
      </c>
      <c r="CD26" t="e">
        <f>AND(#REF!,"AAAAAG7vvVE=")</f>
        <v>#REF!</v>
      </c>
      <c r="CE26" t="e">
        <f>AND(#REF!,"AAAAAG7vvVI=")</f>
        <v>#REF!</v>
      </c>
      <c r="CF26" t="e">
        <f>AND(#REF!,"AAAAAG7vvVM=")</f>
        <v>#REF!</v>
      </c>
      <c r="CG26" t="e">
        <f>AND(#REF!,"AAAAAG7vvVQ=")</f>
        <v>#REF!</v>
      </c>
      <c r="CH26" t="e">
        <f>AND(#REF!,"AAAAAG7vvVU=")</f>
        <v>#REF!</v>
      </c>
      <c r="CI26" t="e">
        <f>AND(#REF!,"AAAAAG7vvVY=")</f>
        <v>#REF!</v>
      </c>
      <c r="CJ26" t="e">
        <f>AND(#REF!,"AAAAAG7vvVc=")</f>
        <v>#REF!</v>
      </c>
      <c r="CK26" t="e">
        <f>AND(#REF!,"AAAAAG7vvVg=")</f>
        <v>#REF!</v>
      </c>
      <c r="CL26" t="e">
        <f>AND(#REF!,"AAAAAG7vvVk=")</f>
        <v>#REF!</v>
      </c>
      <c r="CM26" t="e">
        <f>AND(#REF!,"AAAAAG7vvVo=")</f>
        <v>#REF!</v>
      </c>
      <c r="CN26" t="e">
        <f>AND(#REF!,"AAAAAG7vvVs=")</f>
        <v>#REF!</v>
      </c>
      <c r="CO26" t="e">
        <f>AND(#REF!,"AAAAAG7vvVw=")</f>
        <v>#REF!</v>
      </c>
      <c r="CP26" t="e">
        <f>AND(#REF!,"AAAAAG7vvV0=")</f>
        <v>#REF!</v>
      </c>
      <c r="CQ26" t="e">
        <f>AND(#REF!,"AAAAAG7vvV4=")</f>
        <v>#REF!</v>
      </c>
      <c r="CR26" t="e">
        <f>AND(#REF!,"AAAAAG7vvV8=")</f>
        <v>#REF!</v>
      </c>
      <c r="CS26" t="e">
        <f>AND(#REF!,"AAAAAG7vvWA=")</f>
        <v>#REF!</v>
      </c>
      <c r="CT26" t="e">
        <f>AND(#REF!,"AAAAAG7vvWE=")</f>
        <v>#REF!</v>
      </c>
      <c r="CU26" t="e">
        <f>AND(#REF!,"AAAAAG7vvWI=")</f>
        <v>#REF!</v>
      </c>
      <c r="CV26" t="e">
        <f>AND(#REF!,"AAAAAG7vvWM=")</f>
        <v>#REF!</v>
      </c>
      <c r="CW26" t="e">
        <f>AND(#REF!,"AAAAAG7vvWQ=")</f>
        <v>#REF!</v>
      </c>
      <c r="CX26" t="e">
        <f>AND(#REF!,"AAAAAG7vvWU=")</f>
        <v>#REF!</v>
      </c>
      <c r="CY26" t="e">
        <f>AND(#REF!,"AAAAAG7vvWY=")</f>
        <v>#REF!</v>
      </c>
      <c r="CZ26" t="e">
        <f>AND(#REF!,"AAAAAG7vvWc=")</f>
        <v>#REF!</v>
      </c>
      <c r="DA26" t="e">
        <f>AND(#REF!,"AAAAAG7vvWg=")</f>
        <v>#REF!</v>
      </c>
      <c r="DB26" t="e">
        <f>AND(#REF!,"AAAAAG7vvWk=")</f>
        <v>#REF!</v>
      </c>
      <c r="DC26" t="e">
        <f>AND(#REF!,"AAAAAG7vvWo=")</f>
        <v>#REF!</v>
      </c>
      <c r="DD26" t="e">
        <f>AND(#REF!,"AAAAAG7vvWs=")</f>
        <v>#REF!</v>
      </c>
      <c r="DE26" t="e">
        <f>AND(#REF!,"AAAAAG7vvWw=")</f>
        <v>#REF!</v>
      </c>
      <c r="DF26" t="e">
        <f>AND(#REF!,"AAAAAG7vvW0=")</f>
        <v>#REF!</v>
      </c>
      <c r="DG26" t="e">
        <f>AND(#REF!,"AAAAAG7vvW4=")</f>
        <v>#REF!</v>
      </c>
      <c r="DH26" t="e">
        <f>AND(#REF!,"AAAAAG7vvW8=")</f>
        <v>#REF!</v>
      </c>
      <c r="DI26" t="e">
        <f>AND(#REF!,"AAAAAG7vvXA=")</f>
        <v>#REF!</v>
      </c>
      <c r="DJ26" t="e">
        <f>AND(#REF!,"AAAAAG7vvXE=")</f>
        <v>#REF!</v>
      </c>
      <c r="DK26" t="e">
        <f>AND(#REF!,"AAAAAG7vvXI=")</f>
        <v>#REF!</v>
      </c>
      <c r="DL26" t="e">
        <f>AND(#REF!,"AAAAAG7vvXM=")</f>
        <v>#REF!</v>
      </c>
      <c r="DM26" t="e">
        <f>AND(#REF!,"AAAAAG7vvXQ=")</f>
        <v>#REF!</v>
      </c>
      <c r="DN26" t="e">
        <f>AND(#REF!,"AAAAAG7vvXU=")</f>
        <v>#REF!</v>
      </c>
      <c r="DO26" t="e">
        <f>AND(#REF!,"AAAAAG7vvXY=")</f>
        <v>#REF!</v>
      </c>
      <c r="DP26" t="e">
        <f>AND(#REF!,"AAAAAG7vvXc=")</f>
        <v>#REF!</v>
      </c>
      <c r="DQ26" t="e">
        <f>AND(#REF!,"AAAAAG7vvXg=")</f>
        <v>#REF!</v>
      </c>
      <c r="DR26" t="e">
        <f>AND(#REF!,"AAAAAG7vvXk=")</f>
        <v>#REF!</v>
      </c>
      <c r="DS26" t="e">
        <f>AND(#REF!,"AAAAAG7vvXo=")</f>
        <v>#REF!</v>
      </c>
      <c r="DT26" t="e">
        <f>AND(#REF!,"AAAAAG7vvXs=")</f>
        <v>#REF!</v>
      </c>
      <c r="DU26" t="e">
        <f>AND(#REF!,"AAAAAG7vvXw=")</f>
        <v>#REF!</v>
      </c>
      <c r="DV26" t="e">
        <f>AND(#REF!,"AAAAAG7vvX0=")</f>
        <v>#REF!</v>
      </c>
      <c r="DW26" t="e">
        <f>AND(#REF!,"AAAAAG7vvX4=")</f>
        <v>#REF!</v>
      </c>
      <c r="DX26" t="e">
        <f>IF(#REF!,"AAAAAG7vvX8=",0)</f>
        <v>#REF!</v>
      </c>
      <c r="DY26" t="e">
        <f>AND(#REF!,"AAAAAG7vvYA=")</f>
        <v>#REF!</v>
      </c>
      <c r="DZ26" t="e">
        <f>AND(#REF!,"AAAAAG7vvYE=")</f>
        <v>#REF!</v>
      </c>
      <c r="EA26" t="e">
        <f>AND(#REF!,"AAAAAG7vvYI=")</f>
        <v>#REF!</v>
      </c>
      <c r="EB26" t="e">
        <f>AND(#REF!,"AAAAAG7vvYM=")</f>
        <v>#REF!</v>
      </c>
      <c r="EC26" t="e">
        <f>AND(#REF!,"AAAAAG7vvYQ=")</f>
        <v>#REF!</v>
      </c>
      <c r="ED26" t="e">
        <f>AND(#REF!,"AAAAAG7vvYU=")</f>
        <v>#REF!</v>
      </c>
      <c r="EE26" t="e">
        <f>AND(#REF!,"AAAAAG7vvYY=")</f>
        <v>#REF!</v>
      </c>
      <c r="EF26" t="e">
        <f>AND(#REF!,"AAAAAG7vvYc=")</f>
        <v>#REF!</v>
      </c>
      <c r="EG26" t="e">
        <f>AND(#REF!,"AAAAAG7vvYg=")</f>
        <v>#REF!</v>
      </c>
      <c r="EH26" t="e">
        <f>AND(#REF!,"AAAAAG7vvYk=")</f>
        <v>#REF!</v>
      </c>
      <c r="EI26" t="e">
        <f>AND(#REF!,"AAAAAG7vvYo=")</f>
        <v>#REF!</v>
      </c>
      <c r="EJ26" t="e">
        <f>AND(#REF!,"AAAAAG7vvYs=")</f>
        <v>#REF!</v>
      </c>
      <c r="EK26" t="e">
        <f>AND(#REF!,"AAAAAG7vvYw=")</f>
        <v>#REF!</v>
      </c>
      <c r="EL26" t="e">
        <f>AND(#REF!,"AAAAAG7vvY0=")</f>
        <v>#REF!</v>
      </c>
      <c r="EM26" t="e">
        <f>AND(#REF!,"AAAAAG7vvY4=")</f>
        <v>#REF!</v>
      </c>
      <c r="EN26" t="e">
        <f>AND(#REF!,"AAAAAG7vvY8=")</f>
        <v>#REF!</v>
      </c>
      <c r="EO26" t="e">
        <f>AND(#REF!,"AAAAAG7vvZA=")</f>
        <v>#REF!</v>
      </c>
      <c r="EP26" t="e">
        <f>AND(#REF!,"AAAAAG7vvZE=")</f>
        <v>#REF!</v>
      </c>
      <c r="EQ26" t="e">
        <f>AND(#REF!,"AAAAAG7vvZI=")</f>
        <v>#REF!</v>
      </c>
      <c r="ER26" t="e">
        <f>AND(#REF!,"AAAAAG7vvZM=")</f>
        <v>#REF!</v>
      </c>
      <c r="ES26" t="e">
        <f>AND(#REF!,"AAAAAG7vvZQ=")</f>
        <v>#REF!</v>
      </c>
      <c r="ET26" t="e">
        <f>AND(#REF!,"AAAAAG7vvZU=")</f>
        <v>#REF!</v>
      </c>
      <c r="EU26" t="e">
        <f>AND(#REF!,"AAAAAG7vvZY=")</f>
        <v>#REF!</v>
      </c>
      <c r="EV26" t="e">
        <f>AND(#REF!,"AAAAAG7vvZc=")</f>
        <v>#REF!</v>
      </c>
      <c r="EW26" t="e">
        <f>AND(#REF!,"AAAAAG7vvZg=")</f>
        <v>#REF!</v>
      </c>
      <c r="EX26" t="e">
        <f>AND(#REF!,"AAAAAG7vvZk=")</f>
        <v>#REF!</v>
      </c>
      <c r="EY26" t="e">
        <f>AND(#REF!,"AAAAAG7vvZo=")</f>
        <v>#REF!</v>
      </c>
      <c r="EZ26" t="e">
        <f>AND(#REF!,"AAAAAG7vvZs=")</f>
        <v>#REF!</v>
      </c>
      <c r="FA26" t="e">
        <f>AND(#REF!,"AAAAAG7vvZw=")</f>
        <v>#REF!</v>
      </c>
      <c r="FB26" t="e">
        <f>AND(#REF!,"AAAAAG7vvZ0=")</f>
        <v>#REF!</v>
      </c>
      <c r="FC26" t="e">
        <f>AND(#REF!,"AAAAAG7vvZ4=")</f>
        <v>#REF!</v>
      </c>
      <c r="FD26" t="e">
        <f>AND(#REF!,"AAAAAG7vvZ8=")</f>
        <v>#REF!</v>
      </c>
      <c r="FE26" t="e">
        <f>AND(#REF!,"AAAAAG7vvaA=")</f>
        <v>#REF!</v>
      </c>
      <c r="FF26" t="e">
        <f>AND(#REF!,"AAAAAG7vvaE=")</f>
        <v>#REF!</v>
      </c>
      <c r="FG26" t="e">
        <f>AND(#REF!,"AAAAAG7vvaI=")</f>
        <v>#REF!</v>
      </c>
      <c r="FH26" t="e">
        <f>AND(#REF!,"AAAAAG7vvaM=")</f>
        <v>#REF!</v>
      </c>
      <c r="FI26" t="e">
        <f>AND(#REF!,"AAAAAG7vvaQ=")</f>
        <v>#REF!</v>
      </c>
      <c r="FJ26" t="e">
        <f>AND(#REF!,"AAAAAG7vvaU=")</f>
        <v>#REF!</v>
      </c>
      <c r="FK26" t="e">
        <f>AND(#REF!,"AAAAAG7vvaY=")</f>
        <v>#REF!</v>
      </c>
      <c r="FL26" t="e">
        <f>AND(#REF!,"AAAAAG7vvac=")</f>
        <v>#REF!</v>
      </c>
      <c r="FM26" t="e">
        <f>AND(#REF!,"AAAAAG7vvag=")</f>
        <v>#REF!</v>
      </c>
      <c r="FN26" t="e">
        <f>AND(#REF!,"AAAAAG7vvak=")</f>
        <v>#REF!</v>
      </c>
      <c r="FO26" t="e">
        <f>AND(#REF!,"AAAAAG7vvao=")</f>
        <v>#REF!</v>
      </c>
      <c r="FP26" t="e">
        <f>AND(#REF!,"AAAAAG7vvas=")</f>
        <v>#REF!</v>
      </c>
      <c r="FQ26" t="e">
        <f>AND(#REF!,"AAAAAG7vvaw=")</f>
        <v>#REF!</v>
      </c>
      <c r="FR26" t="e">
        <f>AND(#REF!,"AAAAAG7vva0=")</f>
        <v>#REF!</v>
      </c>
      <c r="FS26" t="e">
        <f>AND(#REF!,"AAAAAG7vva4=")</f>
        <v>#REF!</v>
      </c>
      <c r="FT26" t="e">
        <f>AND(#REF!,"AAAAAG7vva8=")</f>
        <v>#REF!</v>
      </c>
      <c r="FU26" t="e">
        <f>AND(#REF!,"AAAAAG7vvbA=")</f>
        <v>#REF!</v>
      </c>
      <c r="FV26" t="e">
        <f>AND(#REF!,"AAAAAG7vvbE=")</f>
        <v>#REF!</v>
      </c>
      <c r="FW26" t="e">
        <f>AND(#REF!,"AAAAAG7vvbI=")</f>
        <v>#REF!</v>
      </c>
      <c r="FX26" t="e">
        <f>AND(#REF!,"AAAAAG7vvbM=")</f>
        <v>#REF!</v>
      </c>
      <c r="FY26" t="e">
        <f>AND(#REF!,"AAAAAG7vvbQ=")</f>
        <v>#REF!</v>
      </c>
      <c r="FZ26" t="e">
        <f>AND(#REF!,"AAAAAG7vvbU=")</f>
        <v>#REF!</v>
      </c>
      <c r="GA26" t="e">
        <f>AND(#REF!,"AAAAAG7vvbY=")</f>
        <v>#REF!</v>
      </c>
      <c r="GB26" t="e">
        <f>AND(#REF!,"AAAAAG7vvbc=")</f>
        <v>#REF!</v>
      </c>
      <c r="GC26" t="e">
        <f>AND(#REF!,"AAAAAG7vvbg=")</f>
        <v>#REF!</v>
      </c>
      <c r="GD26" t="e">
        <f>AND(#REF!,"AAAAAG7vvbk=")</f>
        <v>#REF!</v>
      </c>
      <c r="GE26" t="e">
        <f>AND(#REF!,"AAAAAG7vvbo=")</f>
        <v>#REF!</v>
      </c>
      <c r="GF26" t="e">
        <f>AND(#REF!,"AAAAAG7vvbs=")</f>
        <v>#REF!</v>
      </c>
      <c r="GG26" t="e">
        <f>AND(#REF!,"AAAAAG7vvbw=")</f>
        <v>#REF!</v>
      </c>
      <c r="GH26" t="e">
        <f>AND(#REF!,"AAAAAG7vvb0=")</f>
        <v>#REF!</v>
      </c>
      <c r="GI26" t="e">
        <f>AND(#REF!,"AAAAAG7vvb4=")</f>
        <v>#REF!</v>
      </c>
      <c r="GJ26" t="e">
        <f>AND(#REF!,"AAAAAG7vvb8=")</f>
        <v>#REF!</v>
      </c>
      <c r="GK26" t="e">
        <f>AND(#REF!,"AAAAAG7vvcA=")</f>
        <v>#REF!</v>
      </c>
      <c r="GL26" t="e">
        <f>AND(#REF!,"AAAAAG7vvcE=")</f>
        <v>#REF!</v>
      </c>
      <c r="GM26" t="e">
        <f>AND(#REF!,"AAAAAG7vvcI=")</f>
        <v>#REF!</v>
      </c>
      <c r="GN26" t="e">
        <f>AND(#REF!,"AAAAAG7vvcM=")</f>
        <v>#REF!</v>
      </c>
      <c r="GO26" t="e">
        <f>AND(#REF!,"AAAAAG7vvcQ=")</f>
        <v>#REF!</v>
      </c>
      <c r="GP26" t="e">
        <f>AND(#REF!,"AAAAAG7vvcU=")</f>
        <v>#REF!</v>
      </c>
      <c r="GQ26" t="e">
        <f>AND(#REF!,"AAAAAG7vvcY=")</f>
        <v>#REF!</v>
      </c>
      <c r="GR26" t="e">
        <f>AND(#REF!,"AAAAAG7vvcc=")</f>
        <v>#REF!</v>
      </c>
      <c r="GS26" t="e">
        <f>AND(#REF!,"AAAAAG7vvcg=")</f>
        <v>#REF!</v>
      </c>
      <c r="GT26" t="e">
        <f>AND(#REF!,"AAAAAG7vvck=")</f>
        <v>#REF!</v>
      </c>
      <c r="GU26" t="e">
        <f>AND(#REF!,"AAAAAG7vvco=")</f>
        <v>#REF!</v>
      </c>
      <c r="GV26" t="e">
        <f>AND(#REF!,"AAAAAG7vvcs=")</f>
        <v>#REF!</v>
      </c>
      <c r="GW26" t="e">
        <f>AND(#REF!,"AAAAAG7vvcw=")</f>
        <v>#REF!</v>
      </c>
      <c r="GX26" t="e">
        <f>AND(#REF!,"AAAAAG7vvc0=")</f>
        <v>#REF!</v>
      </c>
      <c r="GY26" t="e">
        <f>AND(#REF!,"AAAAAG7vvc4=")</f>
        <v>#REF!</v>
      </c>
      <c r="GZ26" t="e">
        <f>AND(#REF!,"AAAAAG7vvc8=")</f>
        <v>#REF!</v>
      </c>
      <c r="HA26" t="e">
        <f>AND(#REF!,"AAAAAG7vvdA=")</f>
        <v>#REF!</v>
      </c>
      <c r="HB26" t="e">
        <f>AND(#REF!,"AAAAAG7vvdE=")</f>
        <v>#REF!</v>
      </c>
      <c r="HC26" t="e">
        <f>AND(#REF!,"AAAAAG7vvdI=")</f>
        <v>#REF!</v>
      </c>
      <c r="HD26" t="e">
        <f>AND(#REF!,"AAAAAG7vvdM=")</f>
        <v>#REF!</v>
      </c>
      <c r="HE26" t="e">
        <f>AND(#REF!,"AAAAAG7vvdQ=")</f>
        <v>#REF!</v>
      </c>
      <c r="HF26" t="e">
        <f>AND(#REF!,"AAAAAG7vvdU=")</f>
        <v>#REF!</v>
      </c>
      <c r="HG26" t="e">
        <f>AND(#REF!,"AAAAAG7vvdY=")</f>
        <v>#REF!</v>
      </c>
      <c r="HH26" t="e">
        <f>AND(#REF!,"AAAAAG7vvdc=")</f>
        <v>#REF!</v>
      </c>
      <c r="HI26" t="e">
        <f>AND(#REF!,"AAAAAG7vvdg=")</f>
        <v>#REF!</v>
      </c>
      <c r="HJ26" t="e">
        <f>AND(#REF!,"AAAAAG7vvdk=")</f>
        <v>#REF!</v>
      </c>
      <c r="HK26" t="e">
        <f>AND(#REF!,"AAAAAG7vvdo=")</f>
        <v>#REF!</v>
      </c>
      <c r="HL26" t="e">
        <f>AND(#REF!,"AAAAAG7vvds=")</f>
        <v>#REF!</v>
      </c>
      <c r="HM26" t="e">
        <f>AND(#REF!,"AAAAAG7vvdw=")</f>
        <v>#REF!</v>
      </c>
      <c r="HN26" t="e">
        <f>AND(#REF!,"AAAAAG7vvd0=")</f>
        <v>#REF!</v>
      </c>
      <c r="HO26" t="e">
        <f>AND(#REF!,"AAAAAG7vvd4=")</f>
        <v>#REF!</v>
      </c>
      <c r="HP26" t="e">
        <f>AND(#REF!,"AAAAAG7vvd8=")</f>
        <v>#REF!</v>
      </c>
      <c r="HQ26" t="e">
        <f>AND(#REF!,"AAAAAG7vveA=")</f>
        <v>#REF!</v>
      </c>
      <c r="HR26" t="e">
        <f>AND(#REF!,"AAAAAG7vveE=")</f>
        <v>#REF!</v>
      </c>
      <c r="HS26" t="e">
        <f>AND(#REF!,"AAAAAG7vveI=")</f>
        <v>#REF!</v>
      </c>
      <c r="HT26" t="e">
        <f>AND(#REF!,"AAAAAG7vveM=")</f>
        <v>#REF!</v>
      </c>
      <c r="HU26" t="e">
        <f>AND(#REF!,"AAAAAG7vveQ=")</f>
        <v>#REF!</v>
      </c>
      <c r="HV26" t="e">
        <f>AND(#REF!,"AAAAAG7vveU=")</f>
        <v>#REF!</v>
      </c>
      <c r="HW26" t="e">
        <f>AND(#REF!,"AAAAAG7vveY=")</f>
        <v>#REF!</v>
      </c>
      <c r="HX26" t="e">
        <f>AND(#REF!,"AAAAAG7vvec=")</f>
        <v>#REF!</v>
      </c>
      <c r="HY26" t="e">
        <f>AND(#REF!,"AAAAAG7vveg=")</f>
        <v>#REF!</v>
      </c>
      <c r="HZ26" t="e">
        <f>AND(#REF!,"AAAAAG7vvek=")</f>
        <v>#REF!</v>
      </c>
      <c r="IA26" t="e">
        <f>AND(#REF!,"AAAAAG7vveo=")</f>
        <v>#REF!</v>
      </c>
      <c r="IB26" t="e">
        <f>AND(#REF!,"AAAAAG7vves=")</f>
        <v>#REF!</v>
      </c>
      <c r="IC26" t="e">
        <f>AND(#REF!,"AAAAAG7vvew=")</f>
        <v>#REF!</v>
      </c>
      <c r="ID26" t="e">
        <f>AND(#REF!,"AAAAAG7vve0=")</f>
        <v>#REF!</v>
      </c>
      <c r="IE26" t="e">
        <f>AND(#REF!,"AAAAAG7vve4=")</f>
        <v>#REF!</v>
      </c>
      <c r="IF26" t="e">
        <f>AND(#REF!,"AAAAAG7vve8=")</f>
        <v>#REF!</v>
      </c>
      <c r="IG26" t="e">
        <f>AND(#REF!,"AAAAAG7vvfA=")</f>
        <v>#REF!</v>
      </c>
      <c r="IH26" t="e">
        <f>AND(#REF!,"AAAAAG7vvfE=")</f>
        <v>#REF!</v>
      </c>
      <c r="II26" t="e">
        <f>AND(#REF!,"AAAAAG7vvfI=")</f>
        <v>#REF!</v>
      </c>
      <c r="IJ26" t="e">
        <f>AND(#REF!,"AAAAAG7vvfM=")</f>
        <v>#REF!</v>
      </c>
      <c r="IK26" t="e">
        <f>AND(#REF!,"AAAAAG7vvfQ=")</f>
        <v>#REF!</v>
      </c>
      <c r="IL26" t="e">
        <f>AND(#REF!,"AAAAAG7vvfU=")</f>
        <v>#REF!</v>
      </c>
      <c r="IM26" t="e">
        <f>AND(#REF!,"AAAAAG7vvfY=")</f>
        <v>#REF!</v>
      </c>
      <c r="IN26" t="e">
        <f>AND(#REF!,"AAAAAG7vvfc=")</f>
        <v>#REF!</v>
      </c>
      <c r="IO26" t="e">
        <f>AND(#REF!,"AAAAAG7vvfg=")</f>
        <v>#REF!</v>
      </c>
      <c r="IP26" t="e">
        <f>AND(#REF!,"AAAAAG7vvfk=")</f>
        <v>#REF!</v>
      </c>
      <c r="IQ26" t="e">
        <f>AND(#REF!,"AAAAAG7vvfo=")</f>
        <v>#REF!</v>
      </c>
      <c r="IR26" t="e">
        <f>AND(#REF!,"AAAAAG7vvfs=")</f>
        <v>#REF!</v>
      </c>
      <c r="IS26" t="e">
        <f>AND(#REF!,"AAAAAG7vvfw=")</f>
        <v>#REF!</v>
      </c>
      <c r="IT26" t="e">
        <f>AND(#REF!,"AAAAAG7vvf0=")</f>
        <v>#REF!</v>
      </c>
      <c r="IU26" t="e">
        <f>AND(#REF!,"AAAAAG7vvf4=")</f>
        <v>#REF!</v>
      </c>
      <c r="IV26" t="e">
        <f>AND(#REF!,"AAAAAG7vvf8=")</f>
        <v>#REF!</v>
      </c>
    </row>
    <row r="27" spans="1:256" ht="15">
      <c r="A27" t="e">
        <f>AND(#REF!,"AAAAAE27/wA=")</f>
        <v>#REF!</v>
      </c>
      <c r="B27" t="e">
        <f>AND(#REF!,"AAAAAE27/wE=")</f>
        <v>#REF!</v>
      </c>
      <c r="C27" t="e">
        <f>AND(#REF!,"AAAAAE27/wI=")</f>
        <v>#REF!</v>
      </c>
      <c r="D27" t="e">
        <f>AND(#REF!,"AAAAAE27/wM=")</f>
        <v>#REF!</v>
      </c>
      <c r="E27" t="e">
        <f>AND(#REF!,"AAAAAE27/wQ=")</f>
        <v>#REF!</v>
      </c>
      <c r="F27" t="e">
        <f>AND(#REF!,"AAAAAE27/wU=")</f>
        <v>#REF!</v>
      </c>
      <c r="G27" t="e">
        <f>AND(#REF!,"AAAAAE27/wY=")</f>
        <v>#REF!</v>
      </c>
      <c r="H27" t="e">
        <f>IF(#REF!,"AAAAAE27/wc=",0)</f>
        <v>#REF!</v>
      </c>
      <c r="I27" t="e">
        <f>AND(#REF!,"AAAAAE27/wg=")</f>
        <v>#REF!</v>
      </c>
      <c r="J27" t="e">
        <f>AND(#REF!,"AAAAAE27/wk=")</f>
        <v>#REF!</v>
      </c>
      <c r="K27" t="e">
        <f>AND(#REF!,"AAAAAE27/wo=")</f>
        <v>#REF!</v>
      </c>
      <c r="L27" t="e">
        <f>AND(#REF!,"AAAAAE27/ws=")</f>
        <v>#REF!</v>
      </c>
      <c r="M27" t="e">
        <f>AND(#REF!,"AAAAAE27/ww=")</f>
        <v>#REF!</v>
      </c>
      <c r="N27" t="e">
        <f>AND(#REF!,"AAAAAE27/w0=")</f>
        <v>#REF!</v>
      </c>
      <c r="O27" t="e">
        <f>AND(#REF!,"AAAAAE27/w4=")</f>
        <v>#REF!</v>
      </c>
      <c r="P27" t="e">
        <f>AND(#REF!,"AAAAAE27/w8=")</f>
        <v>#REF!</v>
      </c>
      <c r="Q27" t="e">
        <f>AND(#REF!,"AAAAAE27/xA=")</f>
        <v>#REF!</v>
      </c>
      <c r="R27" t="e">
        <f>AND(#REF!,"AAAAAE27/xE=")</f>
        <v>#REF!</v>
      </c>
      <c r="S27" t="e">
        <f>AND(#REF!,"AAAAAE27/xI=")</f>
        <v>#REF!</v>
      </c>
      <c r="T27" t="e">
        <f>AND(#REF!,"AAAAAE27/xM=")</f>
        <v>#REF!</v>
      </c>
      <c r="U27" t="e">
        <f>AND(#REF!,"AAAAAE27/xQ=")</f>
        <v>#REF!</v>
      </c>
      <c r="V27" t="e">
        <f>AND(#REF!,"AAAAAE27/xU=")</f>
        <v>#REF!</v>
      </c>
      <c r="W27" t="e">
        <f>AND(#REF!,"AAAAAE27/xY=")</f>
        <v>#REF!</v>
      </c>
      <c r="X27" t="e">
        <f>AND(#REF!,"AAAAAE27/xc=")</f>
        <v>#REF!</v>
      </c>
      <c r="Y27" t="e">
        <f>AND(#REF!,"AAAAAE27/xg=")</f>
        <v>#REF!</v>
      </c>
      <c r="Z27" t="e">
        <f>AND(#REF!,"AAAAAE27/xk=")</f>
        <v>#REF!</v>
      </c>
      <c r="AA27" t="e">
        <f>AND(#REF!,"AAAAAE27/xo=")</f>
        <v>#REF!</v>
      </c>
      <c r="AB27" t="e">
        <f>AND(#REF!,"AAAAAE27/xs=")</f>
        <v>#REF!</v>
      </c>
      <c r="AC27" t="e">
        <f>AND(#REF!,"AAAAAE27/xw=")</f>
        <v>#REF!</v>
      </c>
      <c r="AD27" t="e">
        <f>AND(#REF!,"AAAAAE27/x0=")</f>
        <v>#REF!</v>
      </c>
      <c r="AE27" t="e">
        <f>AND(#REF!,"AAAAAE27/x4=")</f>
        <v>#REF!</v>
      </c>
      <c r="AF27" t="e">
        <f>AND(#REF!,"AAAAAE27/x8=")</f>
        <v>#REF!</v>
      </c>
      <c r="AG27" t="e">
        <f>AND(#REF!,"AAAAAE27/yA=")</f>
        <v>#REF!</v>
      </c>
      <c r="AH27" t="e">
        <f>AND(#REF!,"AAAAAE27/yE=")</f>
        <v>#REF!</v>
      </c>
      <c r="AI27" t="e">
        <f>AND(#REF!,"AAAAAE27/yI=")</f>
        <v>#REF!</v>
      </c>
      <c r="AJ27" t="e">
        <f>AND(#REF!,"AAAAAE27/yM=")</f>
        <v>#REF!</v>
      </c>
      <c r="AK27" t="e">
        <f>AND(#REF!,"AAAAAE27/yQ=")</f>
        <v>#REF!</v>
      </c>
      <c r="AL27" t="e">
        <f>AND(#REF!,"AAAAAE27/yU=")</f>
        <v>#REF!</v>
      </c>
      <c r="AM27" t="e">
        <f>AND(#REF!,"AAAAAE27/yY=")</f>
        <v>#REF!</v>
      </c>
      <c r="AN27" t="e">
        <f>AND(#REF!,"AAAAAE27/yc=")</f>
        <v>#REF!</v>
      </c>
      <c r="AO27" t="e">
        <f>AND(#REF!,"AAAAAE27/yg=")</f>
        <v>#REF!</v>
      </c>
      <c r="AP27" t="e">
        <f>AND(#REF!,"AAAAAE27/yk=")</f>
        <v>#REF!</v>
      </c>
      <c r="AQ27" t="e">
        <f>AND(#REF!,"AAAAAE27/yo=")</f>
        <v>#REF!</v>
      </c>
      <c r="AR27" t="e">
        <f>AND(#REF!,"AAAAAE27/ys=")</f>
        <v>#REF!</v>
      </c>
      <c r="AS27" t="e">
        <f>AND(#REF!,"AAAAAE27/yw=")</f>
        <v>#REF!</v>
      </c>
      <c r="AT27" t="e">
        <f>AND(#REF!,"AAAAAE27/y0=")</f>
        <v>#REF!</v>
      </c>
      <c r="AU27" t="e">
        <f>AND(#REF!,"AAAAAE27/y4=")</f>
        <v>#REF!</v>
      </c>
      <c r="AV27" t="e">
        <f>AND(#REF!,"AAAAAE27/y8=")</f>
        <v>#REF!</v>
      </c>
      <c r="AW27" t="e">
        <f>AND(#REF!,"AAAAAE27/zA=")</f>
        <v>#REF!</v>
      </c>
      <c r="AX27" t="e">
        <f>AND(#REF!,"AAAAAE27/zE=")</f>
        <v>#REF!</v>
      </c>
      <c r="AY27" t="e">
        <f>AND(#REF!,"AAAAAE27/zI=")</f>
        <v>#REF!</v>
      </c>
      <c r="AZ27" t="e">
        <f>AND(#REF!,"AAAAAE27/zM=")</f>
        <v>#REF!</v>
      </c>
      <c r="BA27" t="e">
        <f>AND(#REF!,"AAAAAE27/zQ=")</f>
        <v>#REF!</v>
      </c>
      <c r="BB27" t="e">
        <f>AND(#REF!,"AAAAAE27/zU=")</f>
        <v>#REF!</v>
      </c>
      <c r="BC27" t="e">
        <f>AND(#REF!,"AAAAAE27/zY=")</f>
        <v>#REF!</v>
      </c>
      <c r="BD27" t="e">
        <f>AND(#REF!,"AAAAAE27/zc=")</f>
        <v>#REF!</v>
      </c>
      <c r="BE27" t="e">
        <f>AND(#REF!,"AAAAAE27/zg=")</f>
        <v>#REF!</v>
      </c>
      <c r="BF27" t="e">
        <f>AND(#REF!,"AAAAAE27/zk=")</f>
        <v>#REF!</v>
      </c>
      <c r="BG27" t="e">
        <f>AND(#REF!,"AAAAAE27/zo=")</f>
        <v>#REF!</v>
      </c>
      <c r="BH27" t="e">
        <f>AND(#REF!,"AAAAAE27/zs=")</f>
        <v>#REF!</v>
      </c>
      <c r="BI27" t="e">
        <f>AND(#REF!,"AAAAAE27/zw=")</f>
        <v>#REF!</v>
      </c>
      <c r="BJ27" t="e">
        <f>AND(#REF!,"AAAAAE27/z0=")</f>
        <v>#REF!</v>
      </c>
      <c r="BK27" t="e">
        <f>AND(#REF!,"AAAAAE27/z4=")</f>
        <v>#REF!</v>
      </c>
      <c r="BL27" t="e">
        <f>AND(#REF!,"AAAAAE27/z8=")</f>
        <v>#REF!</v>
      </c>
      <c r="BM27" t="e">
        <f>AND(#REF!,"AAAAAE27/0A=")</f>
        <v>#REF!</v>
      </c>
      <c r="BN27" t="e">
        <f>AND(#REF!,"AAAAAE27/0E=")</f>
        <v>#REF!</v>
      </c>
      <c r="BO27" t="e">
        <f>AND(#REF!,"AAAAAE27/0I=")</f>
        <v>#REF!</v>
      </c>
      <c r="BP27" t="e">
        <f>AND(#REF!,"AAAAAE27/0M=")</f>
        <v>#REF!</v>
      </c>
      <c r="BQ27" t="e">
        <f>AND(#REF!,"AAAAAE27/0Q=")</f>
        <v>#REF!</v>
      </c>
      <c r="BR27" t="e">
        <f>AND(#REF!,"AAAAAE27/0U=")</f>
        <v>#REF!</v>
      </c>
      <c r="BS27" t="e">
        <f>AND(#REF!,"AAAAAE27/0Y=")</f>
        <v>#REF!</v>
      </c>
      <c r="BT27" t="e">
        <f>AND(#REF!,"AAAAAE27/0c=")</f>
        <v>#REF!</v>
      </c>
      <c r="BU27" t="e">
        <f>AND(#REF!,"AAAAAE27/0g=")</f>
        <v>#REF!</v>
      </c>
      <c r="BV27" t="e">
        <f>AND(#REF!,"AAAAAE27/0k=")</f>
        <v>#REF!</v>
      </c>
      <c r="BW27" t="e">
        <f>AND(#REF!,"AAAAAE27/0o=")</f>
        <v>#REF!</v>
      </c>
      <c r="BX27" t="e">
        <f>AND(#REF!,"AAAAAE27/0s=")</f>
        <v>#REF!</v>
      </c>
      <c r="BY27" t="e">
        <f>AND(#REF!,"AAAAAE27/0w=")</f>
        <v>#REF!</v>
      </c>
      <c r="BZ27" t="e">
        <f>AND(#REF!,"AAAAAE27/00=")</f>
        <v>#REF!</v>
      </c>
      <c r="CA27" t="e">
        <f>AND(#REF!,"AAAAAE27/04=")</f>
        <v>#REF!</v>
      </c>
      <c r="CB27" t="e">
        <f>AND(#REF!,"AAAAAE27/08=")</f>
        <v>#REF!</v>
      </c>
      <c r="CC27" t="e">
        <f>AND(#REF!,"AAAAAE27/1A=")</f>
        <v>#REF!</v>
      </c>
      <c r="CD27" t="e">
        <f>AND(#REF!,"AAAAAE27/1E=")</f>
        <v>#REF!</v>
      </c>
      <c r="CE27" t="e">
        <f>AND(#REF!,"AAAAAE27/1I=")</f>
        <v>#REF!</v>
      </c>
      <c r="CF27" t="e">
        <f>AND(#REF!,"AAAAAE27/1M=")</f>
        <v>#REF!</v>
      </c>
      <c r="CG27" t="e">
        <f>AND(#REF!,"AAAAAE27/1Q=")</f>
        <v>#REF!</v>
      </c>
      <c r="CH27" t="e">
        <f>AND(#REF!,"AAAAAE27/1U=")</f>
        <v>#REF!</v>
      </c>
      <c r="CI27" t="e">
        <f>AND(#REF!,"AAAAAE27/1Y=")</f>
        <v>#REF!</v>
      </c>
      <c r="CJ27" t="e">
        <f>AND(#REF!,"AAAAAE27/1c=")</f>
        <v>#REF!</v>
      </c>
      <c r="CK27" t="e">
        <f>AND(#REF!,"AAAAAE27/1g=")</f>
        <v>#REF!</v>
      </c>
      <c r="CL27" t="e">
        <f>AND(#REF!,"AAAAAE27/1k=")</f>
        <v>#REF!</v>
      </c>
      <c r="CM27" t="e">
        <f>AND(#REF!,"AAAAAE27/1o=")</f>
        <v>#REF!</v>
      </c>
      <c r="CN27" t="e">
        <f>AND(#REF!,"AAAAAE27/1s=")</f>
        <v>#REF!</v>
      </c>
      <c r="CO27" t="e">
        <f>AND(#REF!,"AAAAAE27/1w=")</f>
        <v>#REF!</v>
      </c>
      <c r="CP27" t="e">
        <f>AND(#REF!,"AAAAAE27/10=")</f>
        <v>#REF!</v>
      </c>
      <c r="CQ27" t="e">
        <f>AND(#REF!,"AAAAAE27/14=")</f>
        <v>#REF!</v>
      </c>
      <c r="CR27" t="e">
        <f>AND(#REF!,"AAAAAE27/18=")</f>
        <v>#REF!</v>
      </c>
      <c r="CS27" t="e">
        <f>AND(#REF!,"AAAAAE27/2A=")</f>
        <v>#REF!</v>
      </c>
      <c r="CT27" t="e">
        <f>AND(#REF!,"AAAAAE27/2E=")</f>
        <v>#REF!</v>
      </c>
      <c r="CU27" t="e">
        <f>AND(#REF!,"AAAAAE27/2I=")</f>
        <v>#REF!</v>
      </c>
      <c r="CV27" t="e">
        <f>AND(#REF!,"AAAAAE27/2M=")</f>
        <v>#REF!</v>
      </c>
      <c r="CW27" t="e">
        <f>AND(#REF!,"AAAAAE27/2Q=")</f>
        <v>#REF!</v>
      </c>
      <c r="CX27" t="e">
        <f>AND(#REF!,"AAAAAE27/2U=")</f>
        <v>#REF!</v>
      </c>
      <c r="CY27" t="e">
        <f>AND(#REF!,"AAAAAE27/2Y=")</f>
        <v>#REF!</v>
      </c>
      <c r="CZ27" t="e">
        <f>AND(#REF!,"AAAAAE27/2c=")</f>
        <v>#REF!</v>
      </c>
      <c r="DA27" t="e">
        <f>AND(#REF!,"AAAAAE27/2g=")</f>
        <v>#REF!</v>
      </c>
      <c r="DB27" t="e">
        <f>AND(#REF!,"AAAAAE27/2k=")</f>
        <v>#REF!</v>
      </c>
      <c r="DC27" t="e">
        <f>AND(#REF!,"AAAAAE27/2o=")</f>
        <v>#REF!</v>
      </c>
      <c r="DD27" t="e">
        <f>AND(#REF!,"AAAAAE27/2s=")</f>
        <v>#REF!</v>
      </c>
      <c r="DE27" t="e">
        <f>AND(#REF!,"AAAAAE27/2w=")</f>
        <v>#REF!</v>
      </c>
      <c r="DF27" t="e">
        <f>AND(#REF!,"AAAAAE27/20=")</f>
        <v>#REF!</v>
      </c>
      <c r="DG27" t="e">
        <f>AND(#REF!,"AAAAAE27/24=")</f>
        <v>#REF!</v>
      </c>
      <c r="DH27" t="e">
        <f>AND(#REF!,"AAAAAE27/28=")</f>
        <v>#REF!</v>
      </c>
      <c r="DI27" t="e">
        <f>AND(#REF!,"AAAAAE27/3A=")</f>
        <v>#REF!</v>
      </c>
      <c r="DJ27" t="e">
        <f>AND(#REF!,"AAAAAE27/3E=")</f>
        <v>#REF!</v>
      </c>
      <c r="DK27" t="e">
        <f>AND(#REF!,"AAAAAE27/3I=")</f>
        <v>#REF!</v>
      </c>
      <c r="DL27" t="e">
        <f>AND(#REF!,"AAAAAE27/3M=")</f>
        <v>#REF!</v>
      </c>
      <c r="DM27" t="e">
        <f>AND(#REF!,"AAAAAE27/3Q=")</f>
        <v>#REF!</v>
      </c>
      <c r="DN27" t="e">
        <f>AND(#REF!,"AAAAAE27/3U=")</f>
        <v>#REF!</v>
      </c>
      <c r="DO27" t="e">
        <f>AND(#REF!,"AAAAAE27/3Y=")</f>
        <v>#REF!</v>
      </c>
      <c r="DP27" t="e">
        <f>AND(#REF!,"AAAAAE27/3c=")</f>
        <v>#REF!</v>
      </c>
      <c r="DQ27" t="e">
        <f>AND(#REF!,"AAAAAE27/3g=")</f>
        <v>#REF!</v>
      </c>
      <c r="DR27" t="e">
        <f>AND(#REF!,"AAAAAE27/3k=")</f>
        <v>#REF!</v>
      </c>
      <c r="DS27" t="e">
        <f>AND(#REF!,"AAAAAE27/3o=")</f>
        <v>#REF!</v>
      </c>
      <c r="DT27" t="e">
        <f>AND(#REF!,"AAAAAE27/3s=")</f>
        <v>#REF!</v>
      </c>
      <c r="DU27" t="e">
        <f>AND(#REF!,"AAAAAE27/3w=")</f>
        <v>#REF!</v>
      </c>
      <c r="DV27" t="e">
        <f>AND(#REF!,"AAAAAE27/30=")</f>
        <v>#REF!</v>
      </c>
      <c r="DW27" t="e">
        <f>AND(#REF!,"AAAAAE27/34=")</f>
        <v>#REF!</v>
      </c>
      <c r="DX27" t="e">
        <f>AND(#REF!,"AAAAAE27/38=")</f>
        <v>#REF!</v>
      </c>
      <c r="DY27" t="e">
        <f>AND(#REF!,"AAAAAE27/4A=")</f>
        <v>#REF!</v>
      </c>
      <c r="DZ27" t="e">
        <f>AND(#REF!,"AAAAAE27/4E=")</f>
        <v>#REF!</v>
      </c>
      <c r="EA27" t="e">
        <f>AND(#REF!,"AAAAAE27/4I=")</f>
        <v>#REF!</v>
      </c>
      <c r="EB27" t="e">
        <f>AND(#REF!,"AAAAAE27/4M=")</f>
        <v>#REF!</v>
      </c>
      <c r="EC27" t="e">
        <f>AND(#REF!,"AAAAAE27/4Q=")</f>
        <v>#REF!</v>
      </c>
      <c r="ED27" t="e">
        <f>AND(#REF!,"AAAAAE27/4U=")</f>
        <v>#REF!</v>
      </c>
      <c r="EE27" t="e">
        <f>AND(#REF!,"AAAAAE27/4Y=")</f>
        <v>#REF!</v>
      </c>
      <c r="EF27" t="e">
        <f>AND(#REF!,"AAAAAE27/4c=")</f>
        <v>#REF!</v>
      </c>
      <c r="EG27" t="e">
        <f>AND(#REF!,"AAAAAE27/4g=")</f>
        <v>#REF!</v>
      </c>
      <c r="EH27" t="e">
        <f>AND(#REF!,"AAAAAE27/4k=")</f>
        <v>#REF!</v>
      </c>
      <c r="EI27" t="e">
        <f>AND(#REF!,"AAAAAE27/4o=")</f>
        <v>#REF!</v>
      </c>
      <c r="EJ27" t="e">
        <f>AND(#REF!,"AAAAAE27/4s=")</f>
        <v>#REF!</v>
      </c>
      <c r="EK27" t="e">
        <f>AND(#REF!,"AAAAAE27/4w=")</f>
        <v>#REF!</v>
      </c>
      <c r="EL27" t="e">
        <f>AND(#REF!,"AAAAAE27/40=")</f>
        <v>#REF!</v>
      </c>
      <c r="EM27" t="e">
        <f>AND(#REF!,"AAAAAE27/44=")</f>
        <v>#REF!</v>
      </c>
      <c r="EN27" t="e">
        <f>IF(#REF!,"AAAAAE27/48=",0)</f>
        <v>#REF!</v>
      </c>
      <c r="EO27" t="e">
        <f>AND(#REF!,"AAAAAE27/5A=")</f>
        <v>#REF!</v>
      </c>
      <c r="EP27" t="e">
        <f>AND(#REF!,"AAAAAE27/5E=")</f>
        <v>#REF!</v>
      </c>
      <c r="EQ27" t="e">
        <f>AND(#REF!,"AAAAAE27/5I=")</f>
        <v>#REF!</v>
      </c>
      <c r="ER27" t="e">
        <f>AND(#REF!,"AAAAAE27/5M=")</f>
        <v>#REF!</v>
      </c>
      <c r="ES27" t="e">
        <f>AND(#REF!,"AAAAAE27/5Q=")</f>
        <v>#REF!</v>
      </c>
      <c r="ET27" t="e">
        <f>AND(#REF!,"AAAAAE27/5U=")</f>
        <v>#REF!</v>
      </c>
      <c r="EU27" t="e">
        <f>AND(#REF!,"AAAAAE27/5Y=")</f>
        <v>#REF!</v>
      </c>
      <c r="EV27" t="e">
        <f>AND(#REF!,"AAAAAE27/5c=")</f>
        <v>#REF!</v>
      </c>
      <c r="EW27" t="e">
        <f>AND(#REF!,"AAAAAE27/5g=")</f>
        <v>#REF!</v>
      </c>
      <c r="EX27" t="e">
        <f>AND(#REF!,"AAAAAE27/5k=")</f>
        <v>#REF!</v>
      </c>
      <c r="EY27" t="e">
        <f>AND(#REF!,"AAAAAE27/5o=")</f>
        <v>#REF!</v>
      </c>
      <c r="EZ27" t="e">
        <f>AND(#REF!,"AAAAAE27/5s=")</f>
        <v>#REF!</v>
      </c>
      <c r="FA27" t="e">
        <f>AND(#REF!,"AAAAAE27/5w=")</f>
        <v>#REF!</v>
      </c>
      <c r="FB27" t="e">
        <f>AND(#REF!,"AAAAAE27/50=")</f>
        <v>#REF!</v>
      </c>
      <c r="FC27" t="e">
        <f>AND(#REF!,"AAAAAE27/54=")</f>
        <v>#REF!</v>
      </c>
      <c r="FD27" t="e">
        <f>AND(#REF!,"AAAAAE27/58=")</f>
        <v>#REF!</v>
      </c>
      <c r="FE27" t="e">
        <f>AND(#REF!,"AAAAAE27/6A=")</f>
        <v>#REF!</v>
      </c>
      <c r="FF27" t="e">
        <f>AND(#REF!,"AAAAAE27/6E=")</f>
        <v>#REF!</v>
      </c>
      <c r="FG27" t="e">
        <f>AND(#REF!,"AAAAAE27/6I=")</f>
        <v>#REF!</v>
      </c>
      <c r="FH27" t="e">
        <f>AND(#REF!,"AAAAAE27/6M=")</f>
        <v>#REF!</v>
      </c>
      <c r="FI27" t="e">
        <f>AND(#REF!,"AAAAAE27/6Q=")</f>
        <v>#REF!</v>
      </c>
      <c r="FJ27" t="e">
        <f>AND(#REF!,"AAAAAE27/6U=")</f>
        <v>#REF!</v>
      </c>
      <c r="FK27" t="e">
        <f>AND(#REF!,"AAAAAE27/6Y=")</f>
        <v>#REF!</v>
      </c>
      <c r="FL27" t="e">
        <f>AND(#REF!,"AAAAAE27/6c=")</f>
        <v>#REF!</v>
      </c>
      <c r="FM27" t="e">
        <f>AND(#REF!,"AAAAAE27/6g=")</f>
        <v>#REF!</v>
      </c>
      <c r="FN27" t="e">
        <f>AND(#REF!,"AAAAAE27/6k=")</f>
        <v>#REF!</v>
      </c>
      <c r="FO27" t="e">
        <f>AND(#REF!,"AAAAAE27/6o=")</f>
        <v>#REF!</v>
      </c>
      <c r="FP27" t="e">
        <f>AND(#REF!,"AAAAAE27/6s=")</f>
        <v>#REF!</v>
      </c>
      <c r="FQ27" t="e">
        <f>AND(#REF!,"AAAAAE27/6w=")</f>
        <v>#REF!</v>
      </c>
      <c r="FR27" t="e">
        <f>AND(#REF!,"AAAAAE27/60=")</f>
        <v>#REF!</v>
      </c>
      <c r="FS27" t="e">
        <f>AND(#REF!,"AAAAAE27/64=")</f>
        <v>#REF!</v>
      </c>
      <c r="FT27" t="e">
        <f>AND(#REF!,"AAAAAE27/68=")</f>
        <v>#REF!</v>
      </c>
      <c r="FU27" t="e">
        <f>AND(#REF!,"AAAAAE27/7A=")</f>
        <v>#REF!</v>
      </c>
      <c r="FV27" t="e">
        <f>AND(#REF!,"AAAAAE27/7E=")</f>
        <v>#REF!</v>
      </c>
      <c r="FW27" t="e">
        <f>AND(#REF!,"AAAAAE27/7I=")</f>
        <v>#REF!</v>
      </c>
      <c r="FX27" t="e">
        <f>AND(#REF!,"AAAAAE27/7M=")</f>
        <v>#REF!</v>
      </c>
      <c r="FY27" t="e">
        <f>AND(#REF!,"AAAAAE27/7Q=")</f>
        <v>#REF!</v>
      </c>
      <c r="FZ27" t="e">
        <f>AND(#REF!,"AAAAAE27/7U=")</f>
        <v>#REF!</v>
      </c>
      <c r="GA27" t="e">
        <f>AND(#REF!,"AAAAAE27/7Y=")</f>
        <v>#REF!</v>
      </c>
      <c r="GB27" t="e">
        <f>AND(#REF!,"AAAAAE27/7c=")</f>
        <v>#REF!</v>
      </c>
      <c r="GC27" t="e">
        <f>AND(#REF!,"AAAAAE27/7g=")</f>
        <v>#REF!</v>
      </c>
      <c r="GD27" t="e">
        <f>AND(#REF!,"AAAAAE27/7k=")</f>
        <v>#REF!</v>
      </c>
      <c r="GE27" t="e">
        <f>AND(#REF!,"AAAAAE27/7o=")</f>
        <v>#REF!</v>
      </c>
      <c r="GF27" t="e">
        <f>AND(#REF!,"AAAAAE27/7s=")</f>
        <v>#REF!</v>
      </c>
      <c r="GG27" t="e">
        <f>AND(#REF!,"AAAAAE27/7w=")</f>
        <v>#REF!</v>
      </c>
      <c r="GH27" t="e">
        <f>AND(#REF!,"AAAAAE27/70=")</f>
        <v>#REF!</v>
      </c>
      <c r="GI27" t="e">
        <f>AND(#REF!,"AAAAAE27/74=")</f>
        <v>#REF!</v>
      </c>
      <c r="GJ27" t="e">
        <f>AND(#REF!,"AAAAAE27/78=")</f>
        <v>#REF!</v>
      </c>
      <c r="GK27" t="e">
        <f>AND(#REF!,"AAAAAE27/8A=")</f>
        <v>#REF!</v>
      </c>
      <c r="GL27" t="e">
        <f>AND(#REF!,"AAAAAE27/8E=")</f>
        <v>#REF!</v>
      </c>
      <c r="GM27" t="e">
        <f>AND(#REF!,"AAAAAE27/8I=")</f>
        <v>#REF!</v>
      </c>
      <c r="GN27" t="e">
        <f>AND(#REF!,"AAAAAE27/8M=")</f>
        <v>#REF!</v>
      </c>
      <c r="GO27" t="e">
        <f>AND(#REF!,"AAAAAE27/8Q=")</f>
        <v>#REF!</v>
      </c>
      <c r="GP27" t="e">
        <f>AND(#REF!,"AAAAAE27/8U=")</f>
        <v>#REF!</v>
      </c>
      <c r="GQ27" t="e">
        <f>AND(#REF!,"AAAAAE27/8Y=")</f>
        <v>#REF!</v>
      </c>
      <c r="GR27" t="e">
        <f>AND(#REF!,"AAAAAE27/8c=")</f>
        <v>#REF!</v>
      </c>
      <c r="GS27" t="e">
        <f>AND(#REF!,"AAAAAE27/8g=")</f>
        <v>#REF!</v>
      </c>
      <c r="GT27" t="e">
        <f>AND(#REF!,"AAAAAE27/8k=")</f>
        <v>#REF!</v>
      </c>
      <c r="GU27" t="e">
        <f>AND(#REF!,"AAAAAE27/8o=")</f>
        <v>#REF!</v>
      </c>
      <c r="GV27" t="e">
        <f>AND(#REF!,"AAAAAE27/8s=")</f>
        <v>#REF!</v>
      </c>
      <c r="GW27" t="e">
        <f>AND(#REF!,"AAAAAE27/8w=")</f>
        <v>#REF!</v>
      </c>
      <c r="GX27" t="e">
        <f>AND(#REF!,"AAAAAE27/80=")</f>
        <v>#REF!</v>
      </c>
      <c r="GY27" t="e">
        <f>AND(#REF!,"AAAAAE27/84=")</f>
        <v>#REF!</v>
      </c>
      <c r="GZ27" t="e">
        <f>AND(#REF!,"AAAAAE27/88=")</f>
        <v>#REF!</v>
      </c>
      <c r="HA27" t="e">
        <f>AND(#REF!,"AAAAAE27/9A=")</f>
        <v>#REF!</v>
      </c>
      <c r="HB27" t="e">
        <f>AND(#REF!,"AAAAAE27/9E=")</f>
        <v>#REF!</v>
      </c>
      <c r="HC27" t="e">
        <f>AND(#REF!,"AAAAAE27/9I=")</f>
        <v>#REF!</v>
      </c>
      <c r="HD27" t="e">
        <f>AND(#REF!,"AAAAAE27/9M=")</f>
        <v>#REF!</v>
      </c>
      <c r="HE27" t="e">
        <f>AND(#REF!,"AAAAAE27/9Q=")</f>
        <v>#REF!</v>
      </c>
      <c r="HF27" t="e">
        <f>AND(#REF!,"AAAAAE27/9U=")</f>
        <v>#REF!</v>
      </c>
      <c r="HG27" t="e">
        <f>AND(#REF!,"AAAAAE27/9Y=")</f>
        <v>#REF!</v>
      </c>
      <c r="HH27" t="e">
        <f>AND(#REF!,"AAAAAE27/9c=")</f>
        <v>#REF!</v>
      </c>
      <c r="HI27" t="e">
        <f>AND(#REF!,"AAAAAE27/9g=")</f>
        <v>#REF!</v>
      </c>
      <c r="HJ27" t="e">
        <f>AND(#REF!,"AAAAAE27/9k=")</f>
        <v>#REF!</v>
      </c>
      <c r="HK27" t="e">
        <f>AND(#REF!,"AAAAAE27/9o=")</f>
        <v>#REF!</v>
      </c>
      <c r="HL27" t="e">
        <f>AND(#REF!,"AAAAAE27/9s=")</f>
        <v>#REF!</v>
      </c>
      <c r="HM27" t="e">
        <f>AND(#REF!,"AAAAAE27/9w=")</f>
        <v>#REF!</v>
      </c>
      <c r="HN27" t="e">
        <f>AND(#REF!,"AAAAAE27/90=")</f>
        <v>#REF!</v>
      </c>
      <c r="HO27" t="e">
        <f>AND(#REF!,"AAAAAE27/94=")</f>
        <v>#REF!</v>
      </c>
      <c r="HP27" t="e">
        <f>AND(#REF!,"AAAAAE27/98=")</f>
        <v>#REF!</v>
      </c>
      <c r="HQ27" t="e">
        <f>AND(#REF!,"AAAAAE27/+A=")</f>
        <v>#REF!</v>
      </c>
      <c r="HR27" t="e">
        <f>AND(#REF!,"AAAAAE27/+E=")</f>
        <v>#REF!</v>
      </c>
      <c r="HS27" t="e">
        <f>AND(#REF!,"AAAAAE27/+I=")</f>
        <v>#REF!</v>
      </c>
      <c r="HT27" t="e">
        <f>AND(#REF!,"AAAAAE27/+M=")</f>
        <v>#REF!</v>
      </c>
      <c r="HU27" t="e">
        <f>AND(#REF!,"AAAAAE27/+Q=")</f>
        <v>#REF!</v>
      </c>
      <c r="HV27" t="e">
        <f>AND(#REF!,"AAAAAE27/+U=")</f>
        <v>#REF!</v>
      </c>
      <c r="HW27" t="e">
        <f>AND(#REF!,"AAAAAE27/+Y=")</f>
        <v>#REF!</v>
      </c>
      <c r="HX27" t="e">
        <f>AND(#REF!,"AAAAAE27/+c=")</f>
        <v>#REF!</v>
      </c>
      <c r="HY27" t="e">
        <f>AND(#REF!,"AAAAAE27/+g=")</f>
        <v>#REF!</v>
      </c>
      <c r="HZ27" t="e">
        <f>AND(#REF!,"AAAAAE27/+k=")</f>
        <v>#REF!</v>
      </c>
      <c r="IA27" t="e">
        <f>AND(#REF!,"AAAAAE27/+o=")</f>
        <v>#REF!</v>
      </c>
      <c r="IB27" t="e">
        <f>AND(#REF!,"AAAAAE27/+s=")</f>
        <v>#REF!</v>
      </c>
      <c r="IC27" t="e">
        <f>AND(#REF!,"AAAAAE27/+w=")</f>
        <v>#REF!</v>
      </c>
      <c r="ID27" t="e">
        <f>AND(#REF!,"AAAAAE27/+0=")</f>
        <v>#REF!</v>
      </c>
      <c r="IE27" t="e">
        <f>AND(#REF!,"AAAAAE27/+4=")</f>
        <v>#REF!</v>
      </c>
      <c r="IF27" t="e">
        <f>AND(#REF!,"AAAAAE27/+8=")</f>
        <v>#REF!</v>
      </c>
      <c r="IG27" t="e">
        <f>AND(#REF!,"AAAAAE27//A=")</f>
        <v>#REF!</v>
      </c>
      <c r="IH27" t="e">
        <f>AND(#REF!,"AAAAAE27//E=")</f>
        <v>#REF!</v>
      </c>
      <c r="II27" t="e">
        <f>AND(#REF!,"AAAAAE27//I=")</f>
        <v>#REF!</v>
      </c>
      <c r="IJ27" t="e">
        <f>AND(#REF!,"AAAAAE27//M=")</f>
        <v>#REF!</v>
      </c>
      <c r="IK27" t="e">
        <f>AND(#REF!,"AAAAAE27//Q=")</f>
        <v>#REF!</v>
      </c>
      <c r="IL27" t="e">
        <f>AND(#REF!,"AAAAAE27//U=")</f>
        <v>#REF!</v>
      </c>
      <c r="IM27" t="e">
        <f>AND(#REF!,"AAAAAE27//Y=")</f>
        <v>#REF!</v>
      </c>
      <c r="IN27" t="e">
        <f>AND(#REF!,"AAAAAE27//c=")</f>
        <v>#REF!</v>
      </c>
      <c r="IO27" t="e">
        <f>AND(#REF!,"AAAAAE27//g=")</f>
        <v>#REF!</v>
      </c>
      <c r="IP27" t="e">
        <f>AND(#REF!,"AAAAAE27//k=")</f>
        <v>#REF!</v>
      </c>
      <c r="IQ27" t="e">
        <f>AND(#REF!,"AAAAAE27//o=")</f>
        <v>#REF!</v>
      </c>
      <c r="IR27" t="e">
        <f>AND(#REF!,"AAAAAE27//s=")</f>
        <v>#REF!</v>
      </c>
      <c r="IS27" t="e">
        <f>AND(#REF!,"AAAAAE27//w=")</f>
        <v>#REF!</v>
      </c>
      <c r="IT27" t="e">
        <f>AND(#REF!,"AAAAAE27//0=")</f>
        <v>#REF!</v>
      </c>
      <c r="IU27" t="e">
        <f>AND(#REF!,"AAAAAE27//4=")</f>
        <v>#REF!</v>
      </c>
      <c r="IV27" t="e">
        <f>AND(#REF!,"AAAAAE27//8=")</f>
        <v>#REF!</v>
      </c>
    </row>
    <row r="28" spans="1:256" ht="15">
      <c r="A28" t="e">
        <f>AND(#REF!,"AAAAAH7P/wA=")</f>
        <v>#REF!</v>
      </c>
      <c r="B28" t="e">
        <f>AND(#REF!,"AAAAAH7P/wE=")</f>
        <v>#REF!</v>
      </c>
      <c r="C28" t="e">
        <f>AND(#REF!,"AAAAAH7P/wI=")</f>
        <v>#REF!</v>
      </c>
      <c r="D28" t="e">
        <f>AND(#REF!,"AAAAAH7P/wM=")</f>
        <v>#REF!</v>
      </c>
      <c r="E28" t="e">
        <f>AND(#REF!,"AAAAAH7P/wQ=")</f>
        <v>#REF!</v>
      </c>
      <c r="F28" t="e">
        <f>AND(#REF!,"AAAAAH7P/wU=")</f>
        <v>#REF!</v>
      </c>
      <c r="G28" t="e">
        <f>AND(#REF!,"AAAAAH7P/wY=")</f>
        <v>#REF!</v>
      </c>
      <c r="H28" t="e">
        <f>AND(#REF!,"AAAAAH7P/wc=")</f>
        <v>#REF!</v>
      </c>
      <c r="I28" t="e">
        <f>AND(#REF!,"AAAAAH7P/wg=")</f>
        <v>#REF!</v>
      </c>
      <c r="J28" t="e">
        <f>AND(#REF!,"AAAAAH7P/wk=")</f>
        <v>#REF!</v>
      </c>
      <c r="K28" t="e">
        <f>AND(#REF!,"AAAAAH7P/wo=")</f>
        <v>#REF!</v>
      </c>
      <c r="L28" t="e">
        <f>AND(#REF!,"AAAAAH7P/ws=")</f>
        <v>#REF!</v>
      </c>
      <c r="M28" t="e">
        <f>AND(#REF!,"AAAAAH7P/ww=")</f>
        <v>#REF!</v>
      </c>
      <c r="N28" t="e">
        <f>AND(#REF!,"AAAAAH7P/w0=")</f>
        <v>#REF!</v>
      </c>
      <c r="O28" t="e">
        <f>AND(#REF!,"AAAAAH7P/w4=")</f>
        <v>#REF!</v>
      </c>
      <c r="P28" t="e">
        <f>AND(#REF!,"AAAAAH7P/w8=")</f>
        <v>#REF!</v>
      </c>
      <c r="Q28" t="e">
        <f>AND(#REF!,"AAAAAH7P/xA=")</f>
        <v>#REF!</v>
      </c>
      <c r="R28" t="e">
        <f>AND(#REF!,"AAAAAH7P/xE=")</f>
        <v>#REF!</v>
      </c>
      <c r="S28" t="e">
        <f>AND(#REF!,"AAAAAH7P/xI=")</f>
        <v>#REF!</v>
      </c>
      <c r="T28" t="e">
        <f>AND(#REF!,"AAAAAH7P/xM=")</f>
        <v>#REF!</v>
      </c>
      <c r="U28" t="e">
        <f>AND(#REF!,"AAAAAH7P/xQ=")</f>
        <v>#REF!</v>
      </c>
      <c r="V28" t="e">
        <f>AND(#REF!,"AAAAAH7P/xU=")</f>
        <v>#REF!</v>
      </c>
      <c r="W28" t="e">
        <f>AND(#REF!,"AAAAAH7P/xY=")</f>
        <v>#REF!</v>
      </c>
      <c r="X28" t="e">
        <f>IF(#REF!,"AAAAAH7P/xc=",0)</f>
        <v>#REF!</v>
      </c>
      <c r="Y28" t="e">
        <f>AND(#REF!,"AAAAAH7P/xg=")</f>
        <v>#REF!</v>
      </c>
      <c r="Z28" t="e">
        <f>AND(#REF!,"AAAAAH7P/xk=")</f>
        <v>#REF!</v>
      </c>
      <c r="AA28" t="e">
        <f>AND(#REF!,"AAAAAH7P/xo=")</f>
        <v>#REF!</v>
      </c>
      <c r="AB28" t="e">
        <f>AND(#REF!,"AAAAAH7P/xs=")</f>
        <v>#REF!</v>
      </c>
      <c r="AC28" t="e">
        <f>AND(#REF!,"AAAAAH7P/xw=")</f>
        <v>#REF!</v>
      </c>
      <c r="AD28" t="e">
        <f>AND(#REF!,"AAAAAH7P/x0=")</f>
        <v>#REF!</v>
      </c>
      <c r="AE28" t="e">
        <f>AND(#REF!,"AAAAAH7P/x4=")</f>
        <v>#REF!</v>
      </c>
      <c r="AF28" t="e">
        <f>AND(#REF!,"AAAAAH7P/x8=")</f>
        <v>#REF!</v>
      </c>
      <c r="AG28" t="e">
        <f>AND(#REF!,"AAAAAH7P/yA=")</f>
        <v>#REF!</v>
      </c>
      <c r="AH28" t="e">
        <f>AND(#REF!,"AAAAAH7P/yE=")</f>
        <v>#REF!</v>
      </c>
      <c r="AI28" t="e">
        <f>AND(#REF!,"AAAAAH7P/yI=")</f>
        <v>#REF!</v>
      </c>
      <c r="AJ28" t="e">
        <f>AND(#REF!,"AAAAAH7P/yM=")</f>
        <v>#REF!</v>
      </c>
      <c r="AK28" t="e">
        <f>AND(#REF!,"AAAAAH7P/yQ=")</f>
        <v>#REF!</v>
      </c>
      <c r="AL28" t="e">
        <f>AND(#REF!,"AAAAAH7P/yU=")</f>
        <v>#REF!</v>
      </c>
      <c r="AM28" t="e">
        <f>AND(#REF!,"AAAAAH7P/yY=")</f>
        <v>#REF!</v>
      </c>
      <c r="AN28" t="e">
        <f>AND(#REF!,"AAAAAH7P/yc=")</f>
        <v>#REF!</v>
      </c>
      <c r="AO28" t="e">
        <f>AND(#REF!,"AAAAAH7P/yg=")</f>
        <v>#REF!</v>
      </c>
      <c r="AP28" t="e">
        <f>AND(#REF!,"AAAAAH7P/yk=")</f>
        <v>#REF!</v>
      </c>
      <c r="AQ28" t="e">
        <f>AND(#REF!,"AAAAAH7P/yo=")</f>
        <v>#REF!</v>
      </c>
      <c r="AR28" t="e">
        <f>AND(#REF!,"AAAAAH7P/ys=")</f>
        <v>#REF!</v>
      </c>
      <c r="AS28" t="e">
        <f>AND(#REF!,"AAAAAH7P/yw=")</f>
        <v>#REF!</v>
      </c>
      <c r="AT28" t="e">
        <f>AND(#REF!,"AAAAAH7P/y0=")</f>
        <v>#REF!</v>
      </c>
      <c r="AU28" t="e">
        <f>AND(#REF!,"AAAAAH7P/y4=")</f>
        <v>#REF!</v>
      </c>
      <c r="AV28" t="e">
        <f>AND(#REF!,"AAAAAH7P/y8=")</f>
        <v>#REF!</v>
      </c>
      <c r="AW28" t="e">
        <f>AND(#REF!,"AAAAAH7P/zA=")</f>
        <v>#REF!</v>
      </c>
      <c r="AX28" t="e">
        <f>AND(#REF!,"AAAAAH7P/zE=")</f>
        <v>#REF!</v>
      </c>
      <c r="AY28" t="e">
        <f>AND(#REF!,"AAAAAH7P/zI=")</f>
        <v>#REF!</v>
      </c>
      <c r="AZ28" t="e">
        <f>AND(#REF!,"AAAAAH7P/zM=")</f>
        <v>#REF!</v>
      </c>
      <c r="BA28" t="e">
        <f>AND(#REF!,"AAAAAH7P/zQ=")</f>
        <v>#REF!</v>
      </c>
      <c r="BB28" t="e">
        <f>AND(#REF!,"AAAAAH7P/zU=")</f>
        <v>#REF!</v>
      </c>
      <c r="BC28" t="e">
        <f>AND(#REF!,"AAAAAH7P/zY=")</f>
        <v>#REF!</v>
      </c>
      <c r="BD28" t="e">
        <f>AND(#REF!,"AAAAAH7P/zc=")</f>
        <v>#REF!</v>
      </c>
      <c r="BE28" t="e">
        <f>AND(#REF!,"AAAAAH7P/zg=")</f>
        <v>#REF!</v>
      </c>
      <c r="BF28" t="e">
        <f>AND(#REF!,"AAAAAH7P/zk=")</f>
        <v>#REF!</v>
      </c>
      <c r="BG28" t="e">
        <f>AND(#REF!,"AAAAAH7P/zo=")</f>
        <v>#REF!</v>
      </c>
      <c r="BH28" t="e">
        <f>AND(#REF!,"AAAAAH7P/zs=")</f>
        <v>#REF!</v>
      </c>
      <c r="BI28" t="e">
        <f>AND(#REF!,"AAAAAH7P/zw=")</f>
        <v>#REF!</v>
      </c>
      <c r="BJ28" t="e">
        <f>AND(#REF!,"AAAAAH7P/z0=")</f>
        <v>#REF!</v>
      </c>
      <c r="BK28" t="e">
        <f>AND(#REF!,"AAAAAH7P/z4=")</f>
        <v>#REF!</v>
      </c>
      <c r="BL28" t="e">
        <f>AND(#REF!,"AAAAAH7P/z8=")</f>
        <v>#REF!</v>
      </c>
      <c r="BM28" t="e">
        <f>AND(#REF!,"AAAAAH7P/0A=")</f>
        <v>#REF!</v>
      </c>
      <c r="BN28" t="e">
        <f>AND(#REF!,"AAAAAH7P/0E=")</f>
        <v>#REF!</v>
      </c>
      <c r="BO28" t="e">
        <f>AND(#REF!,"AAAAAH7P/0I=")</f>
        <v>#REF!</v>
      </c>
      <c r="BP28" t="e">
        <f>AND(#REF!,"AAAAAH7P/0M=")</f>
        <v>#REF!</v>
      </c>
      <c r="BQ28" t="e">
        <f>AND(#REF!,"AAAAAH7P/0Q=")</f>
        <v>#REF!</v>
      </c>
      <c r="BR28" t="e">
        <f>AND(#REF!,"AAAAAH7P/0U=")</f>
        <v>#REF!</v>
      </c>
      <c r="BS28" t="e">
        <f>AND(#REF!,"AAAAAH7P/0Y=")</f>
        <v>#REF!</v>
      </c>
      <c r="BT28" t="e">
        <f>AND(#REF!,"AAAAAH7P/0c=")</f>
        <v>#REF!</v>
      </c>
      <c r="BU28" t="e">
        <f>AND(#REF!,"AAAAAH7P/0g=")</f>
        <v>#REF!</v>
      </c>
      <c r="BV28" t="e">
        <f>AND(#REF!,"AAAAAH7P/0k=")</f>
        <v>#REF!</v>
      </c>
      <c r="BW28" t="e">
        <f>AND(#REF!,"AAAAAH7P/0o=")</f>
        <v>#REF!</v>
      </c>
      <c r="BX28" t="e">
        <f>AND(#REF!,"AAAAAH7P/0s=")</f>
        <v>#REF!</v>
      </c>
      <c r="BY28" t="e">
        <f>AND(#REF!,"AAAAAH7P/0w=")</f>
        <v>#REF!</v>
      </c>
      <c r="BZ28" t="e">
        <f>AND(#REF!,"AAAAAH7P/00=")</f>
        <v>#REF!</v>
      </c>
      <c r="CA28" t="e">
        <f>AND(#REF!,"AAAAAH7P/04=")</f>
        <v>#REF!</v>
      </c>
      <c r="CB28" t="e">
        <f>AND(#REF!,"AAAAAH7P/08=")</f>
        <v>#REF!</v>
      </c>
      <c r="CC28" t="e">
        <f>AND(#REF!,"AAAAAH7P/1A=")</f>
        <v>#REF!</v>
      </c>
      <c r="CD28" t="e">
        <f>AND(#REF!,"AAAAAH7P/1E=")</f>
        <v>#REF!</v>
      </c>
      <c r="CE28" t="e">
        <f>AND(#REF!,"AAAAAH7P/1I=")</f>
        <v>#REF!</v>
      </c>
      <c r="CF28" t="e">
        <f>AND(#REF!,"AAAAAH7P/1M=")</f>
        <v>#REF!</v>
      </c>
      <c r="CG28" t="e">
        <f>AND(#REF!,"AAAAAH7P/1Q=")</f>
        <v>#REF!</v>
      </c>
      <c r="CH28" t="e">
        <f>AND(#REF!,"AAAAAH7P/1U=")</f>
        <v>#REF!</v>
      </c>
      <c r="CI28" t="e">
        <f>AND(#REF!,"AAAAAH7P/1Y=")</f>
        <v>#REF!</v>
      </c>
      <c r="CJ28" t="e">
        <f>AND(#REF!,"AAAAAH7P/1c=")</f>
        <v>#REF!</v>
      </c>
      <c r="CK28" t="e">
        <f>AND(#REF!,"AAAAAH7P/1g=")</f>
        <v>#REF!</v>
      </c>
      <c r="CL28" t="e">
        <f>AND(#REF!,"AAAAAH7P/1k=")</f>
        <v>#REF!</v>
      </c>
      <c r="CM28" t="e">
        <f>AND(#REF!,"AAAAAH7P/1o=")</f>
        <v>#REF!</v>
      </c>
      <c r="CN28" t="e">
        <f>AND(#REF!,"AAAAAH7P/1s=")</f>
        <v>#REF!</v>
      </c>
      <c r="CO28" t="e">
        <f>AND(#REF!,"AAAAAH7P/1w=")</f>
        <v>#REF!</v>
      </c>
      <c r="CP28" t="e">
        <f>AND(#REF!,"AAAAAH7P/10=")</f>
        <v>#REF!</v>
      </c>
      <c r="CQ28" t="e">
        <f>AND(#REF!,"AAAAAH7P/14=")</f>
        <v>#REF!</v>
      </c>
      <c r="CR28" t="e">
        <f>AND(#REF!,"AAAAAH7P/18=")</f>
        <v>#REF!</v>
      </c>
      <c r="CS28" t="e">
        <f>AND(#REF!,"AAAAAH7P/2A=")</f>
        <v>#REF!</v>
      </c>
      <c r="CT28" t="e">
        <f>AND(#REF!,"AAAAAH7P/2E=")</f>
        <v>#REF!</v>
      </c>
      <c r="CU28" t="e">
        <f>AND(#REF!,"AAAAAH7P/2I=")</f>
        <v>#REF!</v>
      </c>
      <c r="CV28" t="e">
        <f>AND(#REF!,"AAAAAH7P/2M=")</f>
        <v>#REF!</v>
      </c>
      <c r="CW28" t="e">
        <f>AND(#REF!,"AAAAAH7P/2Q=")</f>
        <v>#REF!</v>
      </c>
      <c r="CX28" t="e">
        <f>AND(#REF!,"AAAAAH7P/2U=")</f>
        <v>#REF!</v>
      </c>
      <c r="CY28" t="e">
        <f>AND(#REF!,"AAAAAH7P/2Y=")</f>
        <v>#REF!</v>
      </c>
      <c r="CZ28" t="e">
        <f>AND(#REF!,"AAAAAH7P/2c=")</f>
        <v>#REF!</v>
      </c>
      <c r="DA28" t="e">
        <f>AND(#REF!,"AAAAAH7P/2g=")</f>
        <v>#REF!</v>
      </c>
      <c r="DB28" t="e">
        <f>AND(#REF!,"AAAAAH7P/2k=")</f>
        <v>#REF!</v>
      </c>
      <c r="DC28" t="e">
        <f>AND(#REF!,"AAAAAH7P/2o=")</f>
        <v>#REF!</v>
      </c>
      <c r="DD28" t="e">
        <f>AND(#REF!,"AAAAAH7P/2s=")</f>
        <v>#REF!</v>
      </c>
      <c r="DE28" t="e">
        <f>AND(#REF!,"AAAAAH7P/2w=")</f>
        <v>#REF!</v>
      </c>
      <c r="DF28" t="e">
        <f>AND(#REF!,"AAAAAH7P/20=")</f>
        <v>#REF!</v>
      </c>
      <c r="DG28" t="e">
        <f>AND(#REF!,"AAAAAH7P/24=")</f>
        <v>#REF!</v>
      </c>
      <c r="DH28" t="e">
        <f>AND(#REF!,"AAAAAH7P/28=")</f>
        <v>#REF!</v>
      </c>
      <c r="DI28" t="e">
        <f>AND(#REF!,"AAAAAH7P/3A=")</f>
        <v>#REF!</v>
      </c>
      <c r="DJ28" t="e">
        <f>AND(#REF!,"AAAAAH7P/3E=")</f>
        <v>#REF!</v>
      </c>
      <c r="DK28" t="e">
        <f>AND(#REF!,"AAAAAH7P/3I=")</f>
        <v>#REF!</v>
      </c>
      <c r="DL28" t="e">
        <f>AND(#REF!,"AAAAAH7P/3M=")</f>
        <v>#REF!</v>
      </c>
      <c r="DM28" t="e">
        <f>AND(#REF!,"AAAAAH7P/3Q=")</f>
        <v>#REF!</v>
      </c>
      <c r="DN28" t="e">
        <f>AND(#REF!,"AAAAAH7P/3U=")</f>
        <v>#REF!</v>
      </c>
      <c r="DO28" t="e">
        <f>AND(#REF!,"AAAAAH7P/3Y=")</f>
        <v>#REF!</v>
      </c>
      <c r="DP28" t="e">
        <f>AND(#REF!,"AAAAAH7P/3c=")</f>
        <v>#REF!</v>
      </c>
      <c r="DQ28" t="e">
        <f>AND(#REF!,"AAAAAH7P/3g=")</f>
        <v>#REF!</v>
      </c>
      <c r="DR28" t="e">
        <f>AND(#REF!,"AAAAAH7P/3k=")</f>
        <v>#REF!</v>
      </c>
      <c r="DS28" t="e">
        <f>AND(#REF!,"AAAAAH7P/3o=")</f>
        <v>#REF!</v>
      </c>
      <c r="DT28" t="e">
        <f>AND(#REF!,"AAAAAH7P/3s=")</f>
        <v>#REF!</v>
      </c>
      <c r="DU28" t="e">
        <f>AND(#REF!,"AAAAAH7P/3w=")</f>
        <v>#REF!</v>
      </c>
      <c r="DV28" t="e">
        <f>AND(#REF!,"AAAAAH7P/30=")</f>
        <v>#REF!</v>
      </c>
      <c r="DW28" t="e">
        <f>AND(#REF!,"AAAAAH7P/34=")</f>
        <v>#REF!</v>
      </c>
      <c r="DX28" t="e">
        <f>AND(#REF!,"AAAAAH7P/38=")</f>
        <v>#REF!</v>
      </c>
      <c r="DY28" t="e">
        <f>AND(#REF!,"AAAAAH7P/4A=")</f>
        <v>#REF!</v>
      </c>
      <c r="DZ28" t="e">
        <f>AND(#REF!,"AAAAAH7P/4E=")</f>
        <v>#REF!</v>
      </c>
      <c r="EA28" t="e">
        <f>AND(#REF!,"AAAAAH7P/4I=")</f>
        <v>#REF!</v>
      </c>
      <c r="EB28" t="e">
        <f>AND(#REF!,"AAAAAH7P/4M=")</f>
        <v>#REF!</v>
      </c>
      <c r="EC28" t="e">
        <f>AND(#REF!,"AAAAAH7P/4Q=")</f>
        <v>#REF!</v>
      </c>
      <c r="ED28" t="e">
        <f>AND(#REF!,"AAAAAH7P/4U=")</f>
        <v>#REF!</v>
      </c>
      <c r="EE28" t="e">
        <f>AND(#REF!,"AAAAAH7P/4Y=")</f>
        <v>#REF!</v>
      </c>
      <c r="EF28" t="e">
        <f>AND(#REF!,"AAAAAH7P/4c=")</f>
        <v>#REF!</v>
      </c>
      <c r="EG28" t="e">
        <f>AND(#REF!,"AAAAAH7P/4g=")</f>
        <v>#REF!</v>
      </c>
      <c r="EH28" t="e">
        <f>AND(#REF!,"AAAAAH7P/4k=")</f>
        <v>#REF!</v>
      </c>
      <c r="EI28" t="e">
        <f>AND(#REF!,"AAAAAH7P/4o=")</f>
        <v>#REF!</v>
      </c>
      <c r="EJ28" t="e">
        <f>AND(#REF!,"AAAAAH7P/4s=")</f>
        <v>#REF!</v>
      </c>
      <c r="EK28" t="e">
        <f>AND(#REF!,"AAAAAH7P/4w=")</f>
        <v>#REF!</v>
      </c>
      <c r="EL28" t="e">
        <f>AND(#REF!,"AAAAAH7P/40=")</f>
        <v>#REF!</v>
      </c>
      <c r="EM28" t="e">
        <f>AND(#REF!,"AAAAAH7P/44=")</f>
        <v>#REF!</v>
      </c>
      <c r="EN28" t="e">
        <f>AND(#REF!,"AAAAAH7P/48=")</f>
        <v>#REF!</v>
      </c>
      <c r="EO28" t="e">
        <f>AND(#REF!,"AAAAAH7P/5A=")</f>
        <v>#REF!</v>
      </c>
      <c r="EP28" t="e">
        <f>AND(#REF!,"AAAAAH7P/5E=")</f>
        <v>#REF!</v>
      </c>
      <c r="EQ28" t="e">
        <f>AND(#REF!,"AAAAAH7P/5I=")</f>
        <v>#REF!</v>
      </c>
      <c r="ER28" t="e">
        <f>AND(#REF!,"AAAAAH7P/5M=")</f>
        <v>#REF!</v>
      </c>
      <c r="ES28" t="e">
        <f>AND(#REF!,"AAAAAH7P/5Q=")</f>
        <v>#REF!</v>
      </c>
      <c r="ET28" t="e">
        <f>AND(#REF!,"AAAAAH7P/5U=")</f>
        <v>#REF!</v>
      </c>
      <c r="EU28" t="e">
        <f>AND(#REF!,"AAAAAH7P/5Y=")</f>
        <v>#REF!</v>
      </c>
      <c r="EV28" t="e">
        <f>AND(#REF!,"AAAAAH7P/5c=")</f>
        <v>#REF!</v>
      </c>
      <c r="EW28" t="e">
        <f>AND(#REF!,"AAAAAH7P/5g=")</f>
        <v>#REF!</v>
      </c>
      <c r="EX28" t="e">
        <f>AND(#REF!,"AAAAAH7P/5k=")</f>
        <v>#REF!</v>
      </c>
      <c r="EY28" t="e">
        <f>AND(#REF!,"AAAAAH7P/5o=")</f>
        <v>#REF!</v>
      </c>
      <c r="EZ28" t="e">
        <f>AND(#REF!,"AAAAAH7P/5s=")</f>
        <v>#REF!</v>
      </c>
      <c r="FA28" t="e">
        <f>AND(#REF!,"AAAAAH7P/5w=")</f>
        <v>#REF!</v>
      </c>
      <c r="FB28" t="e">
        <f>AND(#REF!,"AAAAAH7P/50=")</f>
        <v>#REF!</v>
      </c>
      <c r="FC28" t="e">
        <f>AND(#REF!,"AAAAAH7P/54=")</f>
        <v>#REF!</v>
      </c>
      <c r="FD28" t="e">
        <f>IF(#REF!,"AAAAAH7P/58=",0)</f>
        <v>#REF!</v>
      </c>
      <c r="FE28" t="e">
        <f>AND(#REF!,"AAAAAH7P/6A=")</f>
        <v>#REF!</v>
      </c>
      <c r="FF28" t="e">
        <f>AND(#REF!,"AAAAAH7P/6E=")</f>
        <v>#REF!</v>
      </c>
      <c r="FG28" t="e">
        <f>AND(#REF!,"AAAAAH7P/6I=")</f>
        <v>#REF!</v>
      </c>
      <c r="FH28" t="e">
        <f>AND(#REF!,"AAAAAH7P/6M=")</f>
        <v>#REF!</v>
      </c>
      <c r="FI28" t="e">
        <f>AND(#REF!,"AAAAAH7P/6Q=")</f>
        <v>#REF!</v>
      </c>
      <c r="FJ28" t="e">
        <f>AND(#REF!,"AAAAAH7P/6U=")</f>
        <v>#REF!</v>
      </c>
      <c r="FK28" t="e">
        <f>AND(#REF!,"AAAAAH7P/6Y=")</f>
        <v>#REF!</v>
      </c>
      <c r="FL28" t="e">
        <f>AND(#REF!,"AAAAAH7P/6c=")</f>
        <v>#REF!</v>
      </c>
      <c r="FM28" t="e">
        <f>AND(#REF!,"AAAAAH7P/6g=")</f>
        <v>#REF!</v>
      </c>
      <c r="FN28" t="e">
        <f>AND(#REF!,"AAAAAH7P/6k=")</f>
        <v>#REF!</v>
      </c>
      <c r="FO28" t="e">
        <f>AND(#REF!,"AAAAAH7P/6o=")</f>
        <v>#REF!</v>
      </c>
      <c r="FP28" t="e">
        <f>AND(#REF!,"AAAAAH7P/6s=")</f>
        <v>#REF!</v>
      </c>
      <c r="FQ28" t="e">
        <f>AND(#REF!,"AAAAAH7P/6w=")</f>
        <v>#REF!</v>
      </c>
      <c r="FR28" t="e">
        <f>AND(#REF!,"AAAAAH7P/60=")</f>
        <v>#REF!</v>
      </c>
      <c r="FS28" t="e">
        <f>AND(#REF!,"AAAAAH7P/64=")</f>
        <v>#REF!</v>
      </c>
      <c r="FT28" t="e">
        <f>AND(#REF!,"AAAAAH7P/68=")</f>
        <v>#REF!</v>
      </c>
      <c r="FU28" t="e">
        <f>AND(#REF!,"AAAAAH7P/7A=")</f>
        <v>#REF!</v>
      </c>
      <c r="FV28" t="e">
        <f>AND(#REF!,"AAAAAH7P/7E=")</f>
        <v>#REF!</v>
      </c>
      <c r="FW28" t="e">
        <f>AND(#REF!,"AAAAAH7P/7I=")</f>
        <v>#REF!</v>
      </c>
      <c r="FX28" t="e">
        <f>AND(#REF!,"AAAAAH7P/7M=")</f>
        <v>#REF!</v>
      </c>
      <c r="FY28" t="e">
        <f>AND(#REF!,"AAAAAH7P/7Q=")</f>
        <v>#REF!</v>
      </c>
      <c r="FZ28" t="e">
        <f>AND(#REF!,"AAAAAH7P/7U=")</f>
        <v>#REF!</v>
      </c>
      <c r="GA28" t="e">
        <f>AND(#REF!,"AAAAAH7P/7Y=")</f>
        <v>#REF!</v>
      </c>
      <c r="GB28" t="e">
        <f>AND(#REF!,"AAAAAH7P/7c=")</f>
        <v>#REF!</v>
      </c>
      <c r="GC28" t="e">
        <f>AND(#REF!,"AAAAAH7P/7g=")</f>
        <v>#REF!</v>
      </c>
      <c r="GD28" t="e">
        <f>AND(#REF!,"AAAAAH7P/7k=")</f>
        <v>#REF!</v>
      </c>
      <c r="GE28" t="e">
        <f>AND(#REF!,"AAAAAH7P/7o=")</f>
        <v>#REF!</v>
      </c>
      <c r="GF28" t="e">
        <f>AND(#REF!,"AAAAAH7P/7s=")</f>
        <v>#REF!</v>
      </c>
      <c r="GG28" t="e">
        <f>AND(#REF!,"AAAAAH7P/7w=")</f>
        <v>#REF!</v>
      </c>
      <c r="GH28" t="e">
        <f>AND(#REF!,"AAAAAH7P/70=")</f>
        <v>#REF!</v>
      </c>
      <c r="GI28" t="e">
        <f>AND(#REF!,"AAAAAH7P/74=")</f>
        <v>#REF!</v>
      </c>
      <c r="GJ28" t="e">
        <f>AND(#REF!,"AAAAAH7P/78=")</f>
        <v>#REF!</v>
      </c>
      <c r="GK28" t="e">
        <f>AND(#REF!,"AAAAAH7P/8A=")</f>
        <v>#REF!</v>
      </c>
      <c r="GL28" t="e">
        <f>AND(#REF!,"AAAAAH7P/8E=")</f>
        <v>#REF!</v>
      </c>
      <c r="GM28" t="e">
        <f>AND(#REF!,"AAAAAH7P/8I=")</f>
        <v>#REF!</v>
      </c>
      <c r="GN28" t="e">
        <f>AND(#REF!,"AAAAAH7P/8M=")</f>
        <v>#REF!</v>
      </c>
      <c r="GO28" t="e">
        <f>AND(#REF!,"AAAAAH7P/8Q=")</f>
        <v>#REF!</v>
      </c>
      <c r="GP28" t="e">
        <f>AND(#REF!,"AAAAAH7P/8U=")</f>
        <v>#REF!</v>
      </c>
      <c r="GQ28" t="e">
        <f>AND(#REF!,"AAAAAH7P/8Y=")</f>
        <v>#REF!</v>
      </c>
      <c r="GR28" t="e">
        <f>AND(#REF!,"AAAAAH7P/8c=")</f>
        <v>#REF!</v>
      </c>
      <c r="GS28" t="e">
        <f>AND(#REF!,"AAAAAH7P/8g=")</f>
        <v>#REF!</v>
      </c>
      <c r="GT28" t="e">
        <f>AND(#REF!,"AAAAAH7P/8k=")</f>
        <v>#REF!</v>
      </c>
      <c r="GU28" t="e">
        <f>AND(#REF!,"AAAAAH7P/8o=")</f>
        <v>#REF!</v>
      </c>
      <c r="GV28" t="e">
        <f>AND(#REF!,"AAAAAH7P/8s=")</f>
        <v>#REF!</v>
      </c>
      <c r="GW28" t="e">
        <f>AND(#REF!,"AAAAAH7P/8w=")</f>
        <v>#REF!</v>
      </c>
      <c r="GX28" t="e">
        <f>AND(#REF!,"AAAAAH7P/80=")</f>
        <v>#REF!</v>
      </c>
      <c r="GY28" t="e">
        <f>AND(#REF!,"AAAAAH7P/84=")</f>
        <v>#REF!</v>
      </c>
      <c r="GZ28" t="e">
        <f>AND(#REF!,"AAAAAH7P/88=")</f>
        <v>#REF!</v>
      </c>
      <c r="HA28" t="e">
        <f>AND(#REF!,"AAAAAH7P/9A=")</f>
        <v>#REF!</v>
      </c>
      <c r="HB28" t="e">
        <f>AND(#REF!,"AAAAAH7P/9E=")</f>
        <v>#REF!</v>
      </c>
      <c r="HC28" t="e">
        <f>AND(#REF!,"AAAAAH7P/9I=")</f>
        <v>#REF!</v>
      </c>
      <c r="HD28" t="e">
        <f>AND(#REF!,"AAAAAH7P/9M=")</f>
        <v>#REF!</v>
      </c>
      <c r="HE28" t="e">
        <f>AND(#REF!,"AAAAAH7P/9Q=")</f>
        <v>#REF!</v>
      </c>
      <c r="HF28" t="e">
        <f>AND(#REF!,"AAAAAH7P/9U=")</f>
        <v>#REF!</v>
      </c>
      <c r="HG28" t="e">
        <f>AND(#REF!,"AAAAAH7P/9Y=")</f>
        <v>#REF!</v>
      </c>
      <c r="HH28" t="e">
        <f>AND(#REF!,"AAAAAH7P/9c=")</f>
        <v>#REF!</v>
      </c>
      <c r="HI28" t="e">
        <f>AND(#REF!,"AAAAAH7P/9g=")</f>
        <v>#REF!</v>
      </c>
      <c r="HJ28" t="e">
        <f>AND(#REF!,"AAAAAH7P/9k=")</f>
        <v>#REF!</v>
      </c>
      <c r="HK28" t="e">
        <f>AND(#REF!,"AAAAAH7P/9o=")</f>
        <v>#REF!</v>
      </c>
      <c r="HL28" t="e">
        <f>AND(#REF!,"AAAAAH7P/9s=")</f>
        <v>#REF!</v>
      </c>
      <c r="HM28" t="e">
        <f>AND(#REF!,"AAAAAH7P/9w=")</f>
        <v>#REF!</v>
      </c>
      <c r="HN28" t="e">
        <f>AND(#REF!,"AAAAAH7P/90=")</f>
        <v>#REF!</v>
      </c>
      <c r="HO28" t="e">
        <f>AND(#REF!,"AAAAAH7P/94=")</f>
        <v>#REF!</v>
      </c>
      <c r="HP28" t="e">
        <f>AND(#REF!,"AAAAAH7P/98=")</f>
        <v>#REF!</v>
      </c>
      <c r="HQ28" t="e">
        <f>AND(#REF!,"AAAAAH7P/+A=")</f>
        <v>#REF!</v>
      </c>
      <c r="HR28" t="e">
        <f>AND(#REF!,"AAAAAH7P/+E=")</f>
        <v>#REF!</v>
      </c>
      <c r="HS28" t="e">
        <f>AND(#REF!,"AAAAAH7P/+I=")</f>
        <v>#REF!</v>
      </c>
      <c r="HT28" t="e">
        <f>AND(#REF!,"AAAAAH7P/+M=")</f>
        <v>#REF!</v>
      </c>
      <c r="HU28" t="e">
        <f>AND(#REF!,"AAAAAH7P/+Q=")</f>
        <v>#REF!</v>
      </c>
      <c r="HV28" t="e">
        <f>AND(#REF!,"AAAAAH7P/+U=")</f>
        <v>#REF!</v>
      </c>
      <c r="HW28" t="e">
        <f>AND(#REF!,"AAAAAH7P/+Y=")</f>
        <v>#REF!</v>
      </c>
      <c r="HX28" t="e">
        <f>AND(#REF!,"AAAAAH7P/+c=")</f>
        <v>#REF!</v>
      </c>
      <c r="HY28" t="e">
        <f>AND(#REF!,"AAAAAH7P/+g=")</f>
        <v>#REF!</v>
      </c>
      <c r="HZ28" t="e">
        <f>AND(#REF!,"AAAAAH7P/+k=")</f>
        <v>#REF!</v>
      </c>
      <c r="IA28" t="e">
        <f>AND(#REF!,"AAAAAH7P/+o=")</f>
        <v>#REF!</v>
      </c>
      <c r="IB28" t="e">
        <f>AND(#REF!,"AAAAAH7P/+s=")</f>
        <v>#REF!</v>
      </c>
      <c r="IC28" t="e">
        <f>AND(#REF!,"AAAAAH7P/+w=")</f>
        <v>#REF!</v>
      </c>
      <c r="ID28" t="e">
        <f>AND(#REF!,"AAAAAH7P/+0=")</f>
        <v>#REF!</v>
      </c>
      <c r="IE28" t="e">
        <f>AND(#REF!,"AAAAAH7P/+4=")</f>
        <v>#REF!</v>
      </c>
      <c r="IF28" t="e">
        <f>AND(#REF!,"AAAAAH7P/+8=")</f>
        <v>#REF!</v>
      </c>
      <c r="IG28" t="e">
        <f>AND(#REF!,"AAAAAH7P//A=")</f>
        <v>#REF!</v>
      </c>
      <c r="IH28" t="e">
        <f>AND(#REF!,"AAAAAH7P//E=")</f>
        <v>#REF!</v>
      </c>
      <c r="II28" t="e">
        <f>AND(#REF!,"AAAAAH7P//I=")</f>
        <v>#REF!</v>
      </c>
      <c r="IJ28" t="e">
        <f>AND(#REF!,"AAAAAH7P//M=")</f>
        <v>#REF!</v>
      </c>
      <c r="IK28" t="e">
        <f>AND(#REF!,"AAAAAH7P//Q=")</f>
        <v>#REF!</v>
      </c>
      <c r="IL28" t="e">
        <f>AND(#REF!,"AAAAAH7P//U=")</f>
        <v>#REF!</v>
      </c>
      <c r="IM28" t="e">
        <f>AND(#REF!,"AAAAAH7P//Y=")</f>
        <v>#REF!</v>
      </c>
      <c r="IN28" t="e">
        <f>AND(#REF!,"AAAAAH7P//c=")</f>
        <v>#REF!</v>
      </c>
      <c r="IO28" t="e">
        <f>AND(#REF!,"AAAAAH7P//g=")</f>
        <v>#REF!</v>
      </c>
      <c r="IP28" t="e">
        <f>AND(#REF!,"AAAAAH7P//k=")</f>
        <v>#REF!</v>
      </c>
      <c r="IQ28" t="e">
        <f>AND(#REF!,"AAAAAH7P//o=")</f>
        <v>#REF!</v>
      </c>
      <c r="IR28" t="e">
        <f>AND(#REF!,"AAAAAH7P//s=")</f>
        <v>#REF!</v>
      </c>
      <c r="IS28" t="e">
        <f>AND(#REF!,"AAAAAH7P//w=")</f>
        <v>#REF!</v>
      </c>
      <c r="IT28" t="e">
        <f>AND(#REF!,"AAAAAH7P//0=")</f>
        <v>#REF!</v>
      </c>
      <c r="IU28" t="e">
        <f>AND(#REF!,"AAAAAH7P//4=")</f>
        <v>#REF!</v>
      </c>
      <c r="IV28" t="e">
        <f>AND(#REF!,"AAAAAH7P//8=")</f>
        <v>#REF!</v>
      </c>
    </row>
    <row r="29" spans="1:256" ht="15">
      <c r="A29" t="e">
        <f>AND(#REF!,"AAAAAD/8LwA=")</f>
        <v>#REF!</v>
      </c>
      <c r="B29" t="e">
        <f>AND(#REF!,"AAAAAD/8LwE=")</f>
        <v>#REF!</v>
      </c>
      <c r="C29" t="e">
        <f>AND(#REF!,"AAAAAD/8LwI=")</f>
        <v>#REF!</v>
      </c>
      <c r="D29" t="e">
        <f>AND(#REF!,"AAAAAD/8LwM=")</f>
        <v>#REF!</v>
      </c>
      <c r="E29" t="e">
        <f>AND(#REF!,"AAAAAD/8LwQ=")</f>
        <v>#REF!</v>
      </c>
      <c r="F29" t="e">
        <f>AND(#REF!,"AAAAAD/8LwU=")</f>
        <v>#REF!</v>
      </c>
      <c r="G29" t="e">
        <f>AND(#REF!,"AAAAAD/8LwY=")</f>
        <v>#REF!</v>
      </c>
      <c r="H29" t="e">
        <f>AND(#REF!,"AAAAAD/8Lwc=")</f>
        <v>#REF!</v>
      </c>
      <c r="I29" t="e">
        <f>AND(#REF!,"AAAAAD/8Lwg=")</f>
        <v>#REF!</v>
      </c>
      <c r="J29" t="e">
        <f>AND(#REF!,"AAAAAD/8Lwk=")</f>
        <v>#REF!</v>
      </c>
      <c r="K29" t="e">
        <f>AND(#REF!,"AAAAAD/8Lwo=")</f>
        <v>#REF!</v>
      </c>
      <c r="L29" t="e">
        <f>AND(#REF!,"AAAAAD/8Lws=")</f>
        <v>#REF!</v>
      </c>
      <c r="M29" t="e">
        <f>AND(#REF!,"AAAAAD/8Lww=")</f>
        <v>#REF!</v>
      </c>
      <c r="N29" t="e">
        <f>AND(#REF!,"AAAAAD/8Lw0=")</f>
        <v>#REF!</v>
      </c>
      <c r="O29" t="e">
        <f>AND(#REF!,"AAAAAD/8Lw4=")</f>
        <v>#REF!</v>
      </c>
      <c r="P29" t="e">
        <f>AND(#REF!,"AAAAAD/8Lw8=")</f>
        <v>#REF!</v>
      </c>
      <c r="Q29" t="e">
        <f>AND(#REF!,"AAAAAD/8LxA=")</f>
        <v>#REF!</v>
      </c>
      <c r="R29" t="e">
        <f>AND(#REF!,"AAAAAD/8LxE=")</f>
        <v>#REF!</v>
      </c>
      <c r="S29" t="e">
        <f>AND(#REF!,"AAAAAD/8LxI=")</f>
        <v>#REF!</v>
      </c>
      <c r="T29" t="e">
        <f>AND(#REF!,"AAAAAD/8LxM=")</f>
        <v>#REF!</v>
      </c>
      <c r="U29" t="e">
        <f>AND(#REF!,"AAAAAD/8LxQ=")</f>
        <v>#REF!</v>
      </c>
      <c r="V29" t="e">
        <f>AND(#REF!,"AAAAAD/8LxU=")</f>
        <v>#REF!</v>
      </c>
      <c r="W29" t="e">
        <f>AND(#REF!,"AAAAAD/8LxY=")</f>
        <v>#REF!</v>
      </c>
      <c r="X29" t="e">
        <f>AND(#REF!,"AAAAAD/8Lxc=")</f>
        <v>#REF!</v>
      </c>
      <c r="Y29" t="e">
        <f>AND(#REF!,"AAAAAD/8Lxg=")</f>
        <v>#REF!</v>
      </c>
      <c r="Z29" t="e">
        <f>AND(#REF!,"AAAAAD/8Lxk=")</f>
        <v>#REF!</v>
      </c>
      <c r="AA29" t="e">
        <f>AND(#REF!,"AAAAAD/8Lxo=")</f>
        <v>#REF!</v>
      </c>
      <c r="AB29" t="e">
        <f>AND(#REF!,"AAAAAD/8Lxs=")</f>
        <v>#REF!</v>
      </c>
      <c r="AC29" t="e">
        <f>AND(#REF!,"AAAAAD/8Lxw=")</f>
        <v>#REF!</v>
      </c>
      <c r="AD29" t="e">
        <f>AND(#REF!,"AAAAAD/8Lx0=")</f>
        <v>#REF!</v>
      </c>
      <c r="AE29" t="e">
        <f>AND(#REF!,"AAAAAD/8Lx4=")</f>
        <v>#REF!</v>
      </c>
      <c r="AF29" t="e">
        <f>AND(#REF!,"AAAAAD/8Lx8=")</f>
        <v>#REF!</v>
      </c>
      <c r="AG29" t="e">
        <f>AND(#REF!,"AAAAAD/8LyA=")</f>
        <v>#REF!</v>
      </c>
      <c r="AH29" t="e">
        <f>AND(#REF!,"AAAAAD/8LyE=")</f>
        <v>#REF!</v>
      </c>
      <c r="AI29" t="e">
        <f>AND(#REF!,"AAAAAD/8LyI=")</f>
        <v>#REF!</v>
      </c>
      <c r="AJ29" t="e">
        <f>AND(#REF!,"AAAAAD/8LyM=")</f>
        <v>#REF!</v>
      </c>
      <c r="AK29" t="e">
        <f>AND(#REF!,"AAAAAD/8LyQ=")</f>
        <v>#REF!</v>
      </c>
      <c r="AL29" t="e">
        <f>AND(#REF!,"AAAAAD/8LyU=")</f>
        <v>#REF!</v>
      </c>
      <c r="AM29" t="e">
        <f>AND(#REF!,"AAAAAD/8LyY=")</f>
        <v>#REF!</v>
      </c>
      <c r="AN29" t="e">
        <f>IF(#REF!,"AAAAAD/8Lyc=",0)</f>
        <v>#REF!</v>
      </c>
      <c r="AO29" t="e">
        <f>AND(#REF!,"AAAAAD/8Lyg=")</f>
        <v>#REF!</v>
      </c>
      <c r="AP29" t="e">
        <f>AND(#REF!,"AAAAAD/8Lyk=")</f>
        <v>#REF!</v>
      </c>
      <c r="AQ29" t="e">
        <f>AND(#REF!,"AAAAAD/8Lyo=")</f>
        <v>#REF!</v>
      </c>
      <c r="AR29" t="e">
        <f>AND(#REF!,"AAAAAD/8Lys=")</f>
        <v>#REF!</v>
      </c>
      <c r="AS29" t="e">
        <f>AND(#REF!,"AAAAAD/8Lyw=")</f>
        <v>#REF!</v>
      </c>
      <c r="AT29" t="e">
        <f>AND(#REF!,"AAAAAD/8Ly0=")</f>
        <v>#REF!</v>
      </c>
      <c r="AU29" t="e">
        <f>AND(#REF!,"AAAAAD/8Ly4=")</f>
        <v>#REF!</v>
      </c>
      <c r="AV29" t="e">
        <f>AND(#REF!,"AAAAAD/8Ly8=")</f>
        <v>#REF!</v>
      </c>
      <c r="AW29" t="e">
        <f>AND(#REF!,"AAAAAD/8LzA=")</f>
        <v>#REF!</v>
      </c>
      <c r="AX29" t="e">
        <f>AND(#REF!,"AAAAAD/8LzE=")</f>
        <v>#REF!</v>
      </c>
      <c r="AY29" t="e">
        <f>AND(#REF!,"AAAAAD/8LzI=")</f>
        <v>#REF!</v>
      </c>
      <c r="AZ29" t="e">
        <f>AND(#REF!,"AAAAAD/8LzM=")</f>
        <v>#REF!</v>
      </c>
      <c r="BA29" t="e">
        <f>AND(#REF!,"AAAAAD/8LzQ=")</f>
        <v>#REF!</v>
      </c>
      <c r="BB29" t="e">
        <f>AND(#REF!,"AAAAAD/8LzU=")</f>
        <v>#REF!</v>
      </c>
      <c r="BC29" t="e">
        <f>AND(#REF!,"AAAAAD/8LzY=")</f>
        <v>#REF!</v>
      </c>
      <c r="BD29" t="e">
        <f>AND(#REF!,"AAAAAD/8Lzc=")</f>
        <v>#REF!</v>
      </c>
      <c r="BE29" t="e">
        <f>AND(#REF!,"AAAAAD/8Lzg=")</f>
        <v>#REF!</v>
      </c>
      <c r="BF29" t="e">
        <f>AND(#REF!,"AAAAAD/8Lzk=")</f>
        <v>#REF!</v>
      </c>
      <c r="BG29" t="e">
        <f>AND(#REF!,"AAAAAD/8Lzo=")</f>
        <v>#REF!</v>
      </c>
      <c r="BH29" t="e">
        <f>AND(#REF!,"AAAAAD/8Lzs=")</f>
        <v>#REF!</v>
      </c>
      <c r="BI29" t="e">
        <f>AND(#REF!,"AAAAAD/8Lzw=")</f>
        <v>#REF!</v>
      </c>
      <c r="BJ29" t="e">
        <f>AND(#REF!,"AAAAAD/8Lz0=")</f>
        <v>#REF!</v>
      </c>
      <c r="BK29" t="e">
        <f>AND(#REF!,"AAAAAD/8Lz4=")</f>
        <v>#REF!</v>
      </c>
      <c r="BL29" t="e">
        <f>AND(#REF!,"AAAAAD/8Lz8=")</f>
        <v>#REF!</v>
      </c>
      <c r="BM29" t="e">
        <f>AND(#REF!,"AAAAAD/8L0A=")</f>
        <v>#REF!</v>
      </c>
      <c r="BN29" t="e">
        <f>AND(#REF!,"AAAAAD/8L0E=")</f>
        <v>#REF!</v>
      </c>
      <c r="BO29" t="e">
        <f>AND(#REF!,"AAAAAD/8L0I=")</f>
        <v>#REF!</v>
      </c>
      <c r="BP29" t="e">
        <f>AND(#REF!,"AAAAAD/8L0M=")</f>
        <v>#REF!</v>
      </c>
      <c r="BQ29" t="e">
        <f>AND(#REF!,"AAAAAD/8L0Q=")</f>
        <v>#REF!</v>
      </c>
      <c r="BR29" t="e">
        <f>AND(#REF!,"AAAAAD/8L0U=")</f>
        <v>#REF!</v>
      </c>
      <c r="BS29" t="e">
        <f>AND(#REF!,"AAAAAD/8L0Y=")</f>
        <v>#REF!</v>
      </c>
      <c r="BT29" t="e">
        <f>AND(#REF!,"AAAAAD/8L0c=")</f>
        <v>#REF!</v>
      </c>
      <c r="BU29" t="e">
        <f>AND(#REF!,"AAAAAD/8L0g=")</f>
        <v>#REF!</v>
      </c>
      <c r="BV29" t="e">
        <f>AND(#REF!,"AAAAAD/8L0k=")</f>
        <v>#REF!</v>
      </c>
      <c r="BW29" t="e">
        <f>AND(#REF!,"AAAAAD/8L0o=")</f>
        <v>#REF!</v>
      </c>
      <c r="BX29" t="e">
        <f>AND(#REF!,"AAAAAD/8L0s=")</f>
        <v>#REF!</v>
      </c>
      <c r="BY29" t="e">
        <f>AND(#REF!,"AAAAAD/8L0w=")</f>
        <v>#REF!</v>
      </c>
      <c r="BZ29" t="e">
        <f>AND(#REF!,"AAAAAD/8L00=")</f>
        <v>#REF!</v>
      </c>
      <c r="CA29" t="e">
        <f>AND(#REF!,"AAAAAD/8L04=")</f>
        <v>#REF!</v>
      </c>
      <c r="CB29" t="e">
        <f>AND(#REF!,"AAAAAD/8L08=")</f>
        <v>#REF!</v>
      </c>
      <c r="CC29" t="e">
        <f>AND(#REF!,"AAAAAD/8L1A=")</f>
        <v>#REF!</v>
      </c>
      <c r="CD29" t="e">
        <f>AND(#REF!,"AAAAAD/8L1E=")</f>
        <v>#REF!</v>
      </c>
      <c r="CE29" t="e">
        <f>AND(#REF!,"AAAAAD/8L1I=")</f>
        <v>#REF!</v>
      </c>
      <c r="CF29" t="e">
        <f>AND(#REF!,"AAAAAD/8L1M=")</f>
        <v>#REF!</v>
      </c>
      <c r="CG29" t="e">
        <f>AND(#REF!,"AAAAAD/8L1Q=")</f>
        <v>#REF!</v>
      </c>
      <c r="CH29" t="e">
        <f>AND(#REF!,"AAAAAD/8L1U=")</f>
        <v>#REF!</v>
      </c>
      <c r="CI29" t="e">
        <f>AND(#REF!,"AAAAAD/8L1Y=")</f>
        <v>#REF!</v>
      </c>
      <c r="CJ29" t="e">
        <f>AND(#REF!,"AAAAAD/8L1c=")</f>
        <v>#REF!</v>
      </c>
      <c r="CK29" t="e">
        <f>AND(#REF!,"AAAAAD/8L1g=")</f>
        <v>#REF!</v>
      </c>
      <c r="CL29" t="e">
        <f>AND(#REF!,"AAAAAD/8L1k=")</f>
        <v>#REF!</v>
      </c>
      <c r="CM29" t="e">
        <f>AND(#REF!,"AAAAAD/8L1o=")</f>
        <v>#REF!</v>
      </c>
      <c r="CN29" t="e">
        <f>AND(#REF!,"AAAAAD/8L1s=")</f>
        <v>#REF!</v>
      </c>
      <c r="CO29" t="e">
        <f>AND(#REF!,"AAAAAD/8L1w=")</f>
        <v>#REF!</v>
      </c>
      <c r="CP29" t="e">
        <f>AND(#REF!,"AAAAAD/8L10=")</f>
        <v>#REF!</v>
      </c>
      <c r="CQ29" t="e">
        <f>AND(#REF!,"AAAAAD/8L14=")</f>
        <v>#REF!</v>
      </c>
      <c r="CR29" t="e">
        <f>AND(#REF!,"AAAAAD/8L18=")</f>
        <v>#REF!</v>
      </c>
      <c r="CS29" t="e">
        <f>AND(#REF!,"AAAAAD/8L2A=")</f>
        <v>#REF!</v>
      </c>
      <c r="CT29" t="e">
        <f>AND(#REF!,"AAAAAD/8L2E=")</f>
        <v>#REF!</v>
      </c>
      <c r="CU29" t="e">
        <f>AND(#REF!,"AAAAAD/8L2I=")</f>
        <v>#REF!</v>
      </c>
      <c r="CV29" t="e">
        <f>AND(#REF!,"AAAAAD/8L2M=")</f>
        <v>#REF!</v>
      </c>
      <c r="CW29" t="e">
        <f>AND(#REF!,"AAAAAD/8L2Q=")</f>
        <v>#REF!</v>
      </c>
      <c r="CX29" t="e">
        <f>AND(#REF!,"AAAAAD/8L2U=")</f>
        <v>#REF!</v>
      </c>
      <c r="CY29" t="e">
        <f>AND(#REF!,"AAAAAD/8L2Y=")</f>
        <v>#REF!</v>
      </c>
      <c r="CZ29" t="e">
        <f>AND(#REF!,"AAAAAD/8L2c=")</f>
        <v>#REF!</v>
      </c>
      <c r="DA29" t="e">
        <f>AND(#REF!,"AAAAAD/8L2g=")</f>
        <v>#REF!</v>
      </c>
      <c r="DB29" t="e">
        <f>AND(#REF!,"AAAAAD/8L2k=")</f>
        <v>#REF!</v>
      </c>
      <c r="DC29" t="e">
        <f>AND(#REF!,"AAAAAD/8L2o=")</f>
        <v>#REF!</v>
      </c>
      <c r="DD29" t="e">
        <f>AND(#REF!,"AAAAAD/8L2s=")</f>
        <v>#REF!</v>
      </c>
      <c r="DE29" t="e">
        <f>AND(#REF!,"AAAAAD/8L2w=")</f>
        <v>#REF!</v>
      </c>
      <c r="DF29" t="e">
        <f>AND(#REF!,"AAAAAD/8L20=")</f>
        <v>#REF!</v>
      </c>
      <c r="DG29" t="e">
        <f>AND(#REF!,"AAAAAD/8L24=")</f>
        <v>#REF!</v>
      </c>
      <c r="DH29" t="e">
        <f>AND(#REF!,"AAAAAD/8L28=")</f>
        <v>#REF!</v>
      </c>
      <c r="DI29" t="e">
        <f>AND(#REF!,"AAAAAD/8L3A=")</f>
        <v>#REF!</v>
      </c>
      <c r="DJ29" t="e">
        <f>AND(#REF!,"AAAAAD/8L3E=")</f>
        <v>#REF!</v>
      </c>
      <c r="DK29" t="e">
        <f>AND(#REF!,"AAAAAD/8L3I=")</f>
        <v>#REF!</v>
      </c>
      <c r="DL29" t="e">
        <f>AND(#REF!,"AAAAAD/8L3M=")</f>
        <v>#REF!</v>
      </c>
      <c r="DM29" t="e">
        <f>AND(#REF!,"AAAAAD/8L3Q=")</f>
        <v>#REF!</v>
      </c>
      <c r="DN29" t="e">
        <f>AND(#REF!,"AAAAAD/8L3U=")</f>
        <v>#REF!</v>
      </c>
      <c r="DO29" t="e">
        <f>AND(#REF!,"AAAAAD/8L3Y=")</f>
        <v>#REF!</v>
      </c>
      <c r="DP29" t="e">
        <f>AND(#REF!,"AAAAAD/8L3c=")</f>
        <v>#REF!</v>
      </c>
      <c r="DQ29" t="e">
        <f>AND(#REF!,"AAAAAD/8L3g=")</f>
        <v>#REF!</v>
      </c>
      <c r="DR29" t="e">
        <f>AND(#REF!,"AAAAAD/8L3k=")</f>
        <v>#REF!</v>
      </c>
      <c r="DS29" t="e">
        <f>AND(#REF!,"AAAAAD/8L3o=")</f>
        <v>#REF!</v>
      </c>
      <c r="DT29" t="e">
        <f>AND(#REF!,"AAAAAD/8L3s=")</f>
        <v>#REF!</v>
      </c>
      <c r="DU29" t="e">
        <f>AND(#REF!,"AAAAAD/8L3w=")</f>
        <v>#REF!</v>
      </c>
      <c r="DV29" t="e">
        <f>AND(#REF!,"AAAAAD/8L30=")</f>
        <v>#REF!</v>
      </c>
      <c r="DW29" t="e">
        <f>AND(#REF!,"AAAAAD/8L34=")</f>
        <v>#REF!</v>
      </c>
      <c r="DX29" t="e">
        <f>AND(#REF!,"AAAAAD/8L38=")</f>
        <v>#REF!</v>
      </c>
      <c r="DY29" t="e">
        <f>AND(#REF!,"AAAAAD/8L4A=")</f>
        <v>#REF!</v>
      </c>
      <c r="DZ29" t="e">
        <f>AND(#REF!,"AAAAAD/8L4E=")</f>
        <v>#REF!</v>
      </c>
      <c r="EA29" t="e">
        <f>AND(#REF!,"AAAAAD/8L4I=")</f>
        <v>#REF!</v>
      </c>
      <c r="EB29" t="e">
        <f>AND(#REF!,"AAAAAD/8L4M=")</f>
        <v>#REF!</v>
      </c>
      <c r="EC29" t="e">
        <f>AND(#REF!,"AAAAAD/8L4Q=")</f>
        <v>#REF!</v>
      </c>
      <c r="ED29" t="e">
        <f>AND(#REF!,"AAAAAD/8L4U=")</f>
        <v>#REF!</v>
      </c>
      <c r="EE29" t="e">
        <f>AND(#REF!,"AAAAAD/8L4Y=")</f>
        <v>#REF!</v>
      </c>
      <c r="EF29" t="e">
        <f>AND(#REF!,"AAAAAD/8L4c=")</f>
        <v>#REF!</v>
      </c>
      <c r="EG29" t="e">
        <f>AND(#REF!,"AAAAAD/8L4g=")</f>
        <v>#REF!</v>
      </c>
      <c r="EH29" t="e">
        <f>AND(#REF!,"AAAAAD/8L4k=")</f>
        <v>#REF!</v>
      </c>
      <c r="EI29" t="e">
        <f>AND(#REF!,"AAAAAD/8L4o=")</f>
        <v>#REF!</v>
      </c>
      <c r="EJ29" t="e">
        <f>AND(#REF!,"AAAAAD/8L4s=")</f>
        <v>#REF!</v>
      </c>
      <c r="EK29" t="e">
        <f>AND(#REF!,"AAAAAD/8L4w=")</f>
        <v>#REF!</v>
      </c>
      <c r="EL29" t="e">
        <f>AND(#REF!,"AAAAAD/8L40=")</f>
        <v>#REF!</v>
      </c>
      <c r="EM29" t="e">
        <f>AND(#REF!,"AAAAAD/8L44=")</f>
        <v>#REF!</v>
      </c>
      <c r="EN29" t="e">
        <f>AND(#REF!,"AAAAAD/8L48=")</f>
        <v>#REF!</v>
      </c>
      <c r="EO29" t="e">
        <f>AND(#REF!,"AAAAAD/8L5A=")</f>
        <v>#REF!</v>
      </c>
      <c r="EP29" t="e">
        <f>AND(#REF!,"AAAAAD/8L5E=")</f>
        <v>#REF!</v>
      </c>
      <c r="EQ29" t="e">
        <f>AND(#REF!,"AAAAAD/8L5I=")</f>
        <v>#REF!</v>
      </c>
      <c r="ER29" t="e">
        <f>AND(#REF!,"AAAAAD/8L5M=")</f>
        <v>#REF!</v>
      </c>
      <c r="ES29" t="e">
        <f>AND(#REF!,"AAAAAD/8L5Q=")</f>
        <v>#REF!</v>
      </c>
      <c r="ET29" t="e">
        <f>AND(#REF!,"AAAAAD/8L5U=")</f>
        <v>#REF!</v>
      </c>
      <c r="EU29" t="e">
        <f>AND(#REF!,"AAAAAD/8L5Y=")</f>
        <v>#REF!</v>
      </c>
      <c r="EV29" t="e">
        <f>AND(#REF!,"AAAAAD/8L5c=")</f>
        <v>#REF!</v>
      </c>
      <c r="EW29" t="e">
        <f>AND(#REF!,"AAAAAD/8L5g=")</f>
        <v>#REF!</v>
      </c>
      <c r="EX29" t="e">
        <f>AND(#REF!,"AAAAAD/8L5k=")</f>
        <v>#REF!</v>
      </c>
      <c r="EY29" t="e">
        <f>AND(#REF!,"AAAAAD/8L5o=")</f>
        <v>#REF!</v>
      </c>
      <c r="EZ29" t="e">
        <f>AND(#REF!,"AAAAAD/8L5s=")</f>
        <v>#REF!</v>
      </c>
      <c r="FA29" t="e">
        <f>AND(#REF!,"AAAAAD/8L5w=")</f>
        <v>#REF!</v>
      </c>
      <c r="FB29" t="e">
        <f>AND(#REF!,"AAAAAD/8L50=")</f>
        <v>#REF!</v>
      </c>
      <c r="FC29" t="e">
        <f>AND(#REF!,"AAAAAD/8L54=")</f>
        <v>#REF!</v>
      </c>
      <c r="FD29" t="e">
        <f>AND(#REF!,"AAAAAD/8L58=")</f>
        <v>#REF!</v>
      </c>
      <c r="FE29" t="e">
        <f>AND(#REF!,"AAAAAD/8L6A=")</f>
        <v>#REF!</v>
      </c>
      <c r="FF29" t="e">
        <f>AND(#REF!,"AAAAAD/8L6E=")</f>
        <v>#REF!</v>
      </c>
      <c r="FG29" t="e">
        <f>AND(#REF!,"AAAAAD/8L6I=")</f>
        <v>#REF!</v>
      </c>
      <c r="FH29" t="e">
        <f>AND(#REF!,"AAAAAD/8L6M=")</f>
        <v>#REF!</v>
      </c>
      <c r="FI29" t="e">
        <f>AND(#REF!,"AAAAAD/8L6Q=")</f>
        <v>#REF!</v>
      </c>
      <c r="FJ29" t="e">
        <f>AND(#REF!,"AAAAAD/8L6U=")</f>
        <v>#REF!</v>
      </c>
      <c r="FK29" t="e">
        <f>AND(#REF!,"AAAAAD/8L6Y=")</f>
        <v>#REF!</v>
      </c>
      <c r="FL29" t="e">
        <f>AND(#REF!,"AAAAAD/8L6c=")</f>
        <v>#REF!</v>
      </c>
      <c r="FM29" t="e">
        <f>AND(#REF!,"AAAAAD/8L6g=")</f>
        <v>#REF!</v>
      </c>
      <c r="FN29" t="e">
        <f>AND(#REF!,"AAAAAD/8L6k=")</f>
        <v>#REF!</v>
      </c>
      <c r="FO29" t="e">
        <f>AND(#REF!,"AAAAAD/8L6o=")</f>
        <v>#REF!</v>
      </c>
      <c r="FP29" t="e">
        <f>AND(#REF!,"AAAAAD/8L6s=")</f>
        <v>#REF!</v>
      </c>
      <c r="FQ29" t="e">
        <f>AND(#REF!,"AAAAAD/8L6w=")</f>
        <v>#REF!</v>
      </c>
      <c r="FR29" t="e">
        <f>AND(#REF!,"AAAAAD/8L60=")</f>
        <v>#REF!</v>
      </c>
      <c r="FS29" t="e">
        <f>AND(#REF!,"AAAAAD/8L64=")</f>
        <v>#REF!</v>
      </c>
      <c r="FT29" t="e">
        <f>IF(#REF!,"AAAAAD/8L68=",0)</f>
        <v>#REF!</v>
      </c>
      <c r="FU29" t="e">
        <f>AND(#REF!,"AAAAAD/8L7A=")</f>
        <v>#REF!</v>
      </c>
      <c r="FV29" t="e">
        <f>AND(#REF!,"AAAAAD/8L7E=")</f>
        <v>#REF!</v>
      </c>
      <c r="FW29" t="e">
        <f>AND(#REF!,"AAAAAD/8L7I=")</f>
        <v>#REF!</v>
      </c>
      <c r="FX29" t="e">
        <f>AND(#REF!,"AAAAAD/8L7M=")</f>
        <v>#REF!</v>
      </c>
      <c r="FY29" t="e">
        <f>AND(#REF!,"AAAAAD/8L7Q=")</f>
        <v>#REF!</v>
      </c>
      <c r="FZ29" t="e">
        <f>AND(#REF!,"AAAAAD/8L7U=")</f>
        <v>#REF!</v>
      </c>
      <c r="GA29" t="e">
        <f>AND(#REF!,"AAAAAD/8L7Y=")</f>
        <v>#REF!</v>
      </c>
      <c r="GB29" t="e">
        <f>AND(#REF!,"AAAAAD/8L7c=")</f>
        <v>#REF!</v>
      </c>
      <c r="GC29" t="e">
        <f>AND(#REF!,"AAAAAD/8L7g=")</f>
        <v>#REF!</v>
      </c>
      <c r="GD29" t="e">
        <f>AND(#REF!,"AAAAAD/8L7k=")</f>
        <v>#REF!</v>
      </c>
      <c r="GE29" t="e">
        <f>AND(#REF!,"AAAAAD/8L7o=")</f>
        <v>#REF!</v>
      </c>
      <c r="GF29" t="e">
        <f>AND(#REF!,"AAAAAD/8L7s=")</f>
        <v>#REF!</v>
      </c>
      <c r="GG29" t="e">
        <f>AND(#REF!,"AAAAAD/8L7w=")</f>
        <v>#REF!</v>
      </c>
      <c r="GH29" t="e">
        <f>AND(#REF!,"AAAAAD/8L70=")</f>
        <v>#REF!</v>
      </c>
      <c r="GI29" t="e">
        <f>AND(#REF!,"AAAAAD/8L74=")</f>
        <v>#REF!</v>
      </c>
      <c r="GJ29" t="e">
        <f>AND(#REF!,"AAAAAD/8L78=")</f>
        <v>#REF!</v>
      </c>
      <c r="GK29" t="e">
        <f>AND(#REF!,"AAAAAD/8L8A=")</f>
        <v>#REF!</v>
      </c>
      <c r="GL29" t="e">
        <f>AND(#REF!,"AAAAAD/8L8E=")</f>
        <v>#REF!</v>
      </c>
      <c r="GM29" t="e">
        <f>AND(#REF!,"AAAAAD/8L8I=")</f>
        <v>#REF!</v>
      </c>
      <c r="GN29" t="e">
        <f>AND(#REF!,"AAAAAD/8L8M=")</f>
        <v>#REF!</v>
      </c>
      <c r="GO29" t="e">
        <f>AND(#REF!,"AAAAAD/8L8Q=")</f>
        <v>#REF!</v>
      </c>
      <c r="GP29" t="e">
        <f>AND(#REF!,"AAAAAD/8L8U=")</f>
        <v>#REF!</v>
      </c>
      <c r="GQ29" t="e">
        <f>AND(#REF!,"AAAAAD/8L8Y=")</f>
        <v>#REF!</v>
      </c>
      <c r="GR29" t="e">
        <f>AND(#REF!,"AAAAAD/8L8c=")</f>
        <v>#REF!</v>
      </c>
      <c r="GS29" t="e">
        <f>AND(#REF!,"AAAAAD/8L8g=")</f>
        <v>#REF!</v>
      </c>
      <c r="GT29" t="e">
        <f>AND(#REF!,"AAAAAD/8L8k=")</f>
        <v>#REF!</v>
      </c>
      <c r="GU29" t="e">
        <f>AND(#REF!,"AAAAAD/8L8o=")</f>
        <v>#REF!</v>
      </c>
      <c r="GV29" t="e">
        <f>AND(#REF!,"AAAAAD/8L8s=")</f>
        <v>#REF!</v>
      </c>
      <c r="GW29" t="e">
        <f>AND(#REF!,"AAAAAD/8L8w=")</f>
        <v>#REF!</v>
      </c>
      <c r="GX29" t="e">
        <f>AND(#REF!,"AAAAAD/8L80=")</f>
        <v>#REF!</v>
      </c>
      <c r="GY29" t="e">
        <f>AND(#REF!,"AAAAAD/8L84=")</f>
        <v>#REF!</v>
      </c>
      <c r="GZ29" t="e">
        <f>AND(#REF!,"AAAAAD/8L88=")</f>
        <v>#REF!</v>
      </c>
      <c r="HA29" t="e">
        <f>AND(#REF!,"AAAAAD/8L9A=")</f>
        <v>#REF!</v>
      </c>
      <c r="HB29" t="e">
        <f>AND(#REF!,"AAAAAD/8L9E=")</f>
        <v>#REF!</v>
      </c>
      <c r="HC29" t="e">
        <f>AND(#REF!,"AAAAAD/8L9I=")</f>
        <v>#REF!</v>
      </c>
      <c r="HD29" t="e">
        <f>AND(#REF!,"AAAAAD/8L9M=")</f>
        <v>#REF!</v>
      </c>
      <c r="HE29" t="e">
        <f>AND(#REF!,"AAAAAD/8L9Q=")</f>
        <v>#REF!</v>
      </c>
      <c r="HF29" t="e">
        <f>AND(#REF!,"AAAAAD/8L9U=")</f>
        <v>#REF!</v>
      </c>
      <c r="HG29" t="e">
        <f>AND(#REF!,"AAAAAD/8L9Y=")</f>
        <v>#REF!</v>
      </c>
      <c r="HH29" t="e">
        <f>AND(#REF!,"AAAAAD/8L9c=")</f>
        <v>#REF!</v>
      </c>
      <c r="HI29" t="e">
        <f>AND(#REF!,"AAAAAD/8L9g=")</f>
        <v>#REF!</v>
      </c>
      <c r="HJ29" t="e">
        <f>AND(#REF!,"AAAAAD/8L9k=")</f>
        <v>#REF!</v>
      </c>
      <c r="HK29" t="e">
        <f>AND(#REF!,"AAAAAD/8L9o=")</f>
        <v>#REF!</v>
      </c>
      <c r="HL29" t="e">
        <f>AND(#REF!,"AAAAAD/8L9s=")</f>
        <v>#REF!</v>
      </c>
      <c r="HM29" t="e">
        <f>AND(#REF!,"AAAAAD/8L9w=")</f>
        <v>#REF!</v>
      </c>
      <c r="HN29" t="e">
        <f>AND(#REF!,"AAAAAD/8L90=")</f>
        <v>#REF!</v>
      </c>
      <c r="HO29" t="e">
        <f>AND(#REF!,"AAAAAD/8L94=")</f>
        <v>#REF!</v>
      </c>
      <c r="HP29" t="e">
        <f>AND(#REF!,"AAAAAD/8L98=")</f>
        <v>#REF!</v>
      </c>
      <c r="HQ29" t="e">
        <f>AND(#REF!,"AAAAAD/8L+A=")</f>
        <v>#REF!</v>
      </c>
      <c r="HR29" t="e">
        <f>AND(#REF!,"AAAAAD/8L+E=")</f>
        <v>#REF!</v>
      </c>
      <c r="HS29" t="e">
        <f>AND(#REF!,"AAAAAD/8L+I=")</f>
        <v>#REF!</v>
      </c>
      <c r="HT29" t="e">
        <f>AND(#REF!,"AAAAAD/8L+M=")</f>
        <v>#REF!</v>
      </c>
      <c r="HU29" t="e">
        <f>AND(#REF!,"AAAAAD/8L+Q=")</f>
        <v>#REF!</v>
      </c>
      <c r="HV29" t="e">
        <f>AND(#REF!,"AAAAAD/8L+U=")</f>
        <v>#REF!</v>
      </c>
      <c r="HW29" t="e">
        <f>AND(#REF!,"AAAAAD/8L+Y=")</f>
        <v>#REF!</v>
      </c>
      <c r="HX29" t="e">
        <f>AND(#REF!,"AAAAAD/8L+c=")</f>
        <v>#REF!</v>
      </c>
      <c r="HY29" t="e">
        <f>AND(#REF!,"AAAAAD/8L+g=")</f>
        <v>#REF!</v>
      </c>
      <c r="HZ29" t="e">
        <f>AND(#REF!,"AAAAAD/8L+k=")</f>
        <v>#REF!</v>
      </c>
      <c r="IA29" t="e">
        <f>AND(#REF!,"AAAAAD/8L+o=")</f>
        <v>#REF!</v>
      </c>
      <c r="IB29" t="e">
        <f>AND(#REF!,"AAAAAD/8L+s=")</f>
        <v>#REF!</v>
      </c>
      <c r="IC29" t="e">
        <f>AND(#REF!,"AAAAAD/8L+w=")</f>
        <v>#REF!</v>
      </c>
      <c r="ID29" t="e">
        <f>AND(#REF!,"AAAAAD/8L+0=")</f>
        <v>#REF!</v>
      </c>
      <c r="IE29" t="e">
        <f>AND(#REF!,"AAAAAD/8L+4=")</f>
        <v>#REF!</v>
      </c>
      <c r="IF29" t="e">
        <f>AND(#REF!,"AAAAAD/8L+8=")</f>
        <v>#REF!</v>
      </c>
      <c r="IG29" t="e">
        <f>AND(#REF!,"AAAAAD/8L/A=")</f>
        <v>#REF!</v>
      </c>
      <c r="IH29" t="e">
        <f>AND(#REF!,"AAAAAD/8L/E=")</f>
        <v>#REF!</v>
      </c>
      <c r="II29" t="e">
        <f>AND(#REF!,"AAAAAD/8L/I=")</f>
        <v>#REF!</v>
      </c>
      <c r="IJ29" t="e">
        <f>AND(#REF!,"AAAAAD/8L/M=")</f>
        <v>#REF!</v>
      </c>
      <c r="IK29" t="e">
        <f>AND(#REF!,"AAAAAD/8L/Q=")</f>
        <v>#REF!</v>
      </c>
      <c r="IL29" t="e">
        <f>AND(#REF!,"AAAAAD/8L/U=")</f>
        <v>#REF!</v>
      </c>
      <c r="IM29" t="e">
        <f>AND(#REF!,"AAAAAD/8L/Y=")</f>
        <v>#REF!</v>
      </c>
      <c r="IN29" t="e">
        <f>AND(#REF!,"AAAAAD/8L/c=")</f>
        <v>#REF!</v>
      </c>
      <c r="IO29" t="e">
        <f>AND(#REF!,"AAAAAD/8L/g=")</f>
        <v>#REF!</v>
      </c>
      <c r="IP29" t="e">
        <f>AND(#REF!,"AAAAAD/8L/k=")</f>
        <v>#REF!</v>
      </c>
      <c r="IQ29" t="e">
        <f>AND(#REF!,"AAAAAD/8L/o=")</f>
        <v>#REF!</v>
      </c>
      <c r="IR29" t="e">
        <f>AND(#REF!,"AAAAAD/8L/s=")</f>
        <v>#REF!</v>
      </c>
      <c r="IS29" t="e">
        <f>AND(#REF!,"AAAAAD/8L/w=")</f>
        <v>#REF!</v>
      </c>
      <c r="IT29" t="e">
        <f>AND(#REF!,"AAAAAD/8L/0=")</f>
        <v>#REF!</v>
      </c>
      <c r="IU29" t="e">
        <f>AND(#REF!,"AAAAAD/8L/4=")</f>
        <v>#REF!</v>
      </c>
      <c r="IV29" t="e">
        <f>AND(#REF!,"AAAAAD/8L/8=")</f>
        <v>#REF!</v>
      </c>
    </row>
    <row r="30" spans="1:256" ht="15">
      <c r="A30" t="e">
        <f>AND(#REF!,"AAAAAGX/ZwA=")</f>
        <v>#REF!</v>
      </c>
      <c r="B30" t="e">
        <f>AND(#REF!,"AAAAAGX/ZwE=")</f>
        <v>#REF!</v>
      </c>
      <c r="C30" t="e">
        <f>AND(#REF!,"AAAAAGX/ZwI=")</f>
        <v>#REF!</v>
      </c>
      <c r="D30" t="e">
        <f>AND(#REF!,"AAAAAGX/ZwM=")</f>
        <v>#REF!</v>
      </c>
      <c r="E30" t="e">
        <f>AND(#REF!,"AAAAAGX/ZwQ=")</f>
        <v>#REF!</v>
      </c>
      <c r="F30" t="e">
        <f>AND(#REF!,"AAAAAGX/ZwU=")</f>
        <v>#REF!</v>
      </c>
      <c r="G30" t="e">
        <f>AND(#REF!,"AAAAAGX/ZwY=")</f>
        <v>#REF!</v>
      </c>
      <c r="H30" t="e">
        <f>AND(#REF!,"AAAAAGX/Zwc=")</f>
        <v>#REF!</v>
      </c>
      <c r="I30" t="e">
        <f>AND(#REF!,"AAAAAGX/Zwg=")</f>
        <v>#REF!</v>
      </c>
      <c r="J30" t="e">
        <f>AND(#REF!,"AAAAAGX/Zwk=")</f>
        <v>#REF!</v>
      </c>
      <c r="K30" t="e">
        <f>AND(#REF!,"AAAAAGX/Zwo=")</f>
        <v>#REF!</v>
      </c>
      <c r="L30" t="e">
        <f>AND(#REF!,"AAAAAGX/Zws=")</f>
        <v>#REF!</v>
      </c>
      <c r="M30" t="e">
        <f>AND(#REF!,"AAAAAGX/Zww=")</f>
        <v>#REF!</v>
      </c>
      <c r="N30" t="e">
        <f>AND(#REF!,"AAAAAGX/Zw0=")</f>
        <v>#REF!</v>
      </c>
      <c r="O30" t="e">
        <f>AND(#REF!,"AAAAAGX/Zw4=")</f>
        <v>#REF!</v>
      </c>
      <c r="P30" t="e">
        <f>AND(#REF!,"AAAAAGX/Zw8=")</f>
        <v>#REF!</v>
      </c>
      <c r="Q30" t="e">
        <f>AND(#REF!,"AAAAAGX/ZxA=")</f>
        <v>#REF!</v>
      </c>
      <c r="R30" t="e">
        <f>AND(#REF!,"AAAAAGX/ZxE=")</f>
        <v>#REF!</v>
      </c>
      <c r="S30" t="e">
        <f>AND(#REF!,"AAAAAGX/ZxI=")</f>
        <v>#REF!</v>
      </c>
      <c r="T30" t="e">
        <f>AND(#REF!,"AAAAAGX/ZxM=")</f>
        <v>#REF!</v>
      </c>
      <c r="U30" t="e">
        <f>AND(#REF!,"AAAAAGX/ZxQ=")</f>
        <v>#REF!</v>
      </c>
      <c r="V30" t="e">
        <f>AND(#REF!,"AAAAAGX/ZxU=")</f>
        <v>#REF!</v>
      </c>
      <c r="W30" t="e">
        <f>AND(#REF!,"AAAAAGX/ZxY=")</f>
        <v>#REF!</v>
      </c>
      <c r="X30" t="e">
        <f>AND(#REF!,"AAAAAGX/Zxc=")</f>
        <v>#REF!</v>
      </c>
      <c r="Y30" t="e">
        <f>AND(#REF!,"AAAAAGX/Zxg=")</f>
        <v>#REF!</v>
      </c>
      <c r="Z30" t="e">
        <f>AND(#REF!,"AAAAAGX/Zxk=")</f>
        <v>#REF!</v>
      </c>
      <c r="AA30" t="e">
        <f>AND(#REF!,"AAAAAGX/Zxo=")</f>
        <v>#REF!</v>
      </c>
      <c r="AB30" t="e">
        <f>AND(#REF!,"AAAAAGX/Zxs=")</f>
        <v>#REF!</v>
      </c>
      <c r="AC30" t="e">
        <f>AND(#REF!,"AAAAAGX/Zxw=")</f>
        <v>#REF!</v>
      </c>
      <c r="AD30" t="e">
        <f>AND(#REF!,"AAAAAGX/Zx0=")</f>
        <v>#REF!</v>
      </c>
      <c r="AE30" t="e">
        <f>AND(#REF!,"AAAAAGX/Zx4=")</f>
        <v>#REF!</v>
      </c>
      <c r="AF30" t="e">
        <f>AND(#REF!,"AAAAAGX/Zx8=")</f>
        <v>#REF!</v>
      </c>
      <c r="AG30" t="e">
        <f>AND(#REF!,"AAAAAGX/ZyA=")</f>
        <v>#REF!</v>
      </c>
      <c r="AH30" t="e">
        <f>AND(#REF!,"AAAAAGX/ZyE=")</f>
        <v>#REF!</v>
      </c>
      <c r="AI30" t="e">
        <f>AND(#REF!,"AAAAAGX/ZyI=")</f>
        <v>#REF!</v>
      </c>
      <c r="AJ30" t="e">
        <f>AND(#REF!,"AAAAAGX/ZyM=")</f>
        <v>#REF!</v>
      </c>
      <c r="AK30" t="e">
        <f>AND(#REF!,"AAAAAGX/ZyQ=")</f>
        <v>#REF!</v>
      </c>
      <c r="AL30" t="e">
        <f>AND(#REF!,"AAAAAGX/ZyU=")</f>
        <v>#REF!</v>
      </c>
      <c r="AM30" t="e">
        <f>AND(#REF!,"AAAAAGX/ZyY=")</f>
        <v>#REF!</v>
      </c>
      <c r="AN30" t="e">
        <f>AND(#REF!,"AAAAAGX/Zyc=")</f>
        <v>#REF!</v>
      </c>
      <c r="AO30" t="e">
        <f>AND(#REF!,"AAAAAGX/Zyg=")</f>
        <v>#REF!</v>
      </c>
      <c r="AP30" t="e">
        <f>AND(#REF!,"AAAAAGX/Zyk=")</f>
        <v>#REF!</v>
      </c>
      <c r="AQ30" t="e">
        <f>AND(#REF!,"AAAAAGX/Zyo=")</f>
        <v>#REF!</v>
      </c>
      <c r="AR30" t="e">
        <f>AND(#REF!,"AAAAAGX/Zys=")</f>
        <v>#REF!</v>
      </c>
      <c r="AS30" t="e">
        <f>AND(#REF!,"AAAAAGX/Zyw=")</f>
        <v>#REF!</v>
      </c>
      <c r="AT30" t="e">
        <f>AND(#REF!,"AAAAAGX/Zy0=")</f>
        <v>#REF!</v>
      </c>
      <c r="AU30" t="e">
        <f>AND(#REF!,"AAAAAGX/Zy4=")</f>
        <v>#REF!</v>
      </c>
      <c r="AV30" t="e">
        <f>AND(#REF!,"AAAAAGX/Zy8=")</f>
        <v>#REF!</v>
      </c>
      <c r="AW30" t="e">
        <f>AND(#REF!,"AAAAAGX/ZzA=")</f>
        <v>#REF!</v>
      </c>
      <c r="AX30" t="e">
        <f>AND(#REF!,"AAAAAGX/ZzE=")</f>
        <v>#REF!</v>
      </c>
      <c r="AY30" t="e">
        <f>AND(#REF!,"AAAAAGX/ZzI=")</f>
        <v>#REF!</v>
      </c>
      <c r="AZ30" t="e">
        <f>AND(#REF!,"AAAAAGX/ZzM=")</f>
        <v>#REF!</v>
      </c>
      <c r="BA30" t="e">
        <f>AND(#REF!,"AAAAAGX/ZzQ=")</f>
        <v>#REF!</v>
      </c>
      <c r="BB30" t="e">
        <f>AND(#REF!,"AAAAAGX/ZzU=")</f>
        <v>#REF!</v>
      </c>
      <c r="BC30" t="e">
        <f>AND(#REF!,"AAAAAGX/ZzY=")</f>
        <v>#REF!</v>
      </c>
      <c r="BD30" t="e">
        <f>IF(#REF!,"AAAAAGX/Zzc=",0)</f>
        <v>#REF!</v>
      </c>
      <c r="BE30" t="e">
        <f>AND(#REF!,"AAAAAGX/Zzg=")</f>
        <v>#REF!</v>
      </c>
      <c r="BF30" t="e">
        <f>AND(#REF!,"AAAAAGX/Zzk=")</f>
        <v>#REF!</v>
      </c>
      <c r="BG30" t="e">
        <f>AND(#REF!,"AAAAAGX/Zzo=")</f>
        <v>#REF!</v>
      </c>
      <c r="BH30" t="e">
        <f>AND(#REF!,"AAAAAGX/Zzs=")</f>
        <v>#REF!</v>
      </c>
      <c r="BI30" t="e">
        <f>AND(#REF!,"AAAAAGX/Zzw=")</f>
        <v>#REF!</v>
      </c>
      <c r="BJ30" t="e">
        <f>AND(#REF!,"AAAAAGX/Zz0=")</f>
        <v>#REF!</v>
      </c>
      <c r="BK30" t="e">
        <f>AND(#REF!,"AAAAAGX/Zz4=")</f>
        <v>#REF!</v>
      </c>
      <c r="BL30" t="e">
        <f>AND(#REF!,"AAAAAGX/Zz8=")</f>
        <v>#REF!</v>
      </c>
      <c r="BM30" t="e">
        <f>AND(#REF!,"AAAAAGX/Z0A=")</f>
        <v>#REF!</v>
      </c>
      <c r="BN30" t="e">
        <f>AND(#REF!,"AAAAAGX/Z0E=")</f>
        <v>#REF!</v>
      </c>
      <c r="BO30" t="e">
        <f>AND(#REF!,"AAAAAGX/Z0I=")</f>
        <v>#REF!</v>
      </c>
      <c r="BP30" t="e">
        <f>AND(#REF!,"AAAAAGX/Z0M=")</f>
        <v>#REF!</v>
      </c>
      <c r="BQ30" t="e">
        <f>AND(#REF!,"AAAAAGX/Z0Q=")</f>
        <v>#REF!</v>
      </c>
      <c r="BR30" t="e">
        <f>AND(#REF!,"AAAAAGX/Z0U=")</f>
        <v>#REF!</v>
      </c>
      <c r="BS30" t="e">
        <f>AND(#REF!,"AAAAAGX/Z0Y=")</f>
        <v>#REF!</v>
      </c>
      <c r="BT30" t="e">
        <f>AND(#REF!,"AAAAAGX/Z0c=")</f>
        <v>#REF!</v>
      </c>
      <c r="BU30" t="e">
        <f>AND(#REF!,"AAAAAGX/Z0g=")</f>
        <v>#REF!</v>
      </c>
      <c r="BV30" t="e">
        <f>AND(#REF!,"AAAAAGX/Z0k=")</f>
        <v>#REF!</v>
      </c>
      <c r="BW30" t="e">
        <f>AND(#REF!,"AAAAAGX/Z0o=")</f>
        <v>#REF!</v>
      </c>
      <c r="BX30" t="e">
        <f>AND(#REF!,"AAAAAGX/Z0s=")</f>
        <v>#REF!</v>
      </c>
      <c r="BY30" t="e">
        <f>AND(#REF!,"AAAAAGX/Z0w=")</f>
        <v>#REF!</v>
      </c>
      <c r="BZ30" t="e">
        <f>AND(#REF!,"AAAAAGX/Z00=")</f>
        <v>#REF!</v>
      </c>
      <c r="CA30" t="e">
        <f>AND(#REF!,"AAAAAGX/Z04=")</f>
        <v>#REF!</v>
      </c>
      <c r="CB30" t="e">
        <f>AND(#REF!,"AAAAAGX/Z08=")</f>
        <v>#REF!</v>
      </c>
      <c r="CC30" t="e">
        <f>AND(#REF!,"AAAAAGX/Z1A=")</f>
        <v>#REF!</v>
      </c>
      <c r="CD30" t="e">
        <f>AND(#REF!,"AAAAAGX/Z1E=")</f>
        <v>#REF!</v>
      </c>
      <c r="CE30" t="e">
        <f>AND(#REF!,"AAAAAGX/Z1I=")</f>
        <v>#REF!</v>
      </c>
      <c r="CF30" t="e">
        <f>AND(#REF!,"AAAAAGX/Z1M=")</f>
        <v>#REF!</v>
      </c>
      <c r="CG30" t="e">
        <f>AND(#REF!,"AAAAAGX/Z1Q=")</f>
        <v>#REF!</v>
      </c>
      <c r="CH30" t="e">
        <f>AND(#REF!,"AAAAAGX/Z1U=")</f>
        <v>#REF!</v>
      </c>
      <c r="CI30" t="e">
        <f>AND(#REF!,"AAAAAGX/Z1Y=")</f>
        <v>#REF!</v>
      </c>
      <c r="CJ30" t="e">
        <f>AND(#REF!,"AAAAAGX/Z1c=")</f>
        <v>#REF!</v>
      </c>
      <c r="CK30" t="e">
        <f>AND(#REF!,"AAAAAGX/Z1g=")</f>
        <v>#REF!</v>
      </c>
      <c r="CL30" t="e">
        <f>AND(#REF!,"AAAAAGX/Z1k=")</f>
        <v>#REF!</v>
      </c>
      <c r="CM30" t="e">
        <f>AND(#REF!,"AAAAAGX/Z1o=")</f>
        <v>#REF!</v>
      </c>
      <c r="CN30" t="e">
        <f>AND(#REF!,"AAAAAGX/Z1s=")</f>
        <v>#REF!</v>
      </c>
      <c r="CO30" t="e">
        <f>AND(#REF!,"AAAAAGX/Z1w=")</f>
        <v>#REF!</v>
      </c>
      <c r="CP30" t="e">
        <f>AND(#REF!,"AAAAAGX/Z10=")</f>
        <v>#REF!</v>
      </c>
      <c r="CQ30" t="e">
        <f>AND(#REF!,"AAAAAGX/Z14=")</f>
        <v>#REF!</v>
      </c>
      <c r="CR30" t="e">
        <f>AND(#REF!,"AAAAAGX/Z18=")</f>
        <v>#REF!</v>
      </c>
      <c r="CS30" t="e">
        <f>AND(#REF!,"AAAAAGX/Z2A=")</f>
        <v>#REF!</v>
      </c>
      <c r="CT30" t="e">
        <f>AND(#REF!,"AAAAAGX/Z2E=")</f>
        <v>#REF!</v>
      </c>
      <c r="CU30" t="e">
        <f>AND(#REF!,"AAAAAGX/Z2I=")</f>
        <v>#REF!</v>
      </c>
      <c r="CV30" t="e">
        <f>AND(#REF!,"AAAAAGX/Z2M=")</f>
        <v>#REF!</v>
      </c>
      <c r="CW30" t="e">
        <f>AND(#REF!,"AAAAAGX/Z2Q=")</f>
        <v>#REF!</v>
      </c>
      <c r="CX30" t="e">
        <f>AND(#REF!,"AAAAAGX/Z2U=")</f>
        <v>#REF!</v>
      </c>
      <c r="CY30" t="e">
        <f>AND(#REF!,"AAAAAGX/Z2Y=")</f>
        <v>#REF!</v>
      </c>
      <c r="CZ30" t="e">
        <f>AND(#REF!,"AAAAAGX/Z2c=")</f>
        <v>#REF!</v>
      </c>
      <c r="DA30" t="e">
        <f>AND(#REF!,"AAAAAGX/Z2g=")</f>
        <v>#REF!</v>
      </c>
      <c r="DB30" t="e">
        <f>AND(#REF!,"AAAAAGX/Z2k=")</f>
        <v>#REF!</v>
      </c>
      <c r="DC30" t="e">
        <f>AND(#REF!,"AAAAAGX/Z2o=")</f>
        <v>#REF!</v>
      </c>
      <c r="DD30" t="e">
        <f>AND(#REF!,"AAAAAGX/Z2s=")</f>
        <v>#REF!</v>
      </c>
      <c r="DE30" t="e">
        <f>AND(#REF!,"AAAAAGX/Z2w=")</f>
        <v>#REF!</v>
      </c>
      <c r="DF30" t="e">
        <f>AND(#REF!,"AAAAAGX/Z20=")</f>
        <v>#REF!</v>
      </c>
      <c r="DG30" t="e">
        <f>AND(#REF!,"AAAAAGX/Z24=")</f>
        <v>#REF!</v>
      </c>
      <c r="DH30" t="e">
        <f>AND(#REF!,"AAAAAGX/Z28=")</f>
        <v>#REF!</v>
      </c>
      <c r="DI30" t="e">
        <f>AND(#REF!,"AAAAAGX/Z3A=")</f>
        <v>#REF!</v>
      </c>
      <c r="DJ30" t="e">
        <f>AND(#REF!,"AAAAAGX/Z3E=")</f>
        <v>#REF!</v>
      </c>
      <c r="DK30" t="e">
        <f>AND(#REF!,"AAAAAGX/Z3I=")</f>
        <v>#REF!</v>
      </c>
      <c r="DL30" t="e">
        <f>AND(#REF!,"AAAAAGX/Z3M=")</f>
        <v>#REF!</v>
      </c>
      <c r="DM30" t="e">
        <f>AND(#REF!,"AAAAAGX/Z3Q=")</f>
        <v>#REF!</v>
      </c>
      <c r="DN30" t="e">
        <f>AND(#REF!,"AAAAAGX/Z3U=")</f>
        <v>#REF!</v>
      </c>
      <c r="DO30" t="e">
        <f>AND(#REF!,"AAAAAGX/Z3Y=")</f>
        <v>#REF!</v>
      </c>
      <c r="DP30" t="e">
        <f>AND(#REF!,"AAAAAGX/Z3c=")</f>
        <v>#REF!</v>
      </c>
      <c r="DQ30" t="e">
        <f>AND(#REF!,"AAAAAGX/Z3g=")</f>
        <v>#REF!</v>
      </c>
      <c r="DR30" t="e">
        <f>AND(#REF!,"AAAAAGX/Z3k=")</f>
        <v>#REF!</v>
      </c>
      <c r="DS30" t="e">
        <f>AND(#REF!,"AAAAAGX/Z3o=")</f>
        <v>#REF!</v>
      </c>
      <c r="DT30" t="e">
        <f>AND(#REF!,"AAAAAGX/Z3s=")</f>
        <v>#REF!</v>
      </c>
      <c r="DU30" t="e">
        <f>AND(#REF!,"AAAAAGX/Z3w=")</f>
        <v>#REF!</v>
      </c>
      <c r="DV30" t="e">
        <f>AND(#REF!,"AAAAAGX/Z30=")</f>
        <v>#REF!</v>
      </c>
      <c r="DW30" t="e">
        <f>AND(#REF!,"AAAAAGX/Z34=")</f>
        <v>#REF!</v>
      </c>
      <c r="DX30" t="e">
        <f>AND(#REF!,"AAAAAGX/Z38=")</f>
        <v>#REF!</v>
      </c>
      <c r="DY30" t="e">
        <f>AND(#REF!,"AAAAAGX/Z4A=")</f>
        <v>#REF!</v>
      </c>
      <c r="DZ30" t="e">
        <f>AND(#REF!,"AAAAAGX/Z4E=")</f>
        <v>#REF!</v>
      </c>
      <c r="EA30" t="e">
        <f>AND(#REF!,"AAAAAGX/Z4I=")</f>
        <v>#REF!</v>
      </c>
      <c r="EB30" t="e">
        <f>AND(#REF!,"AAAAAGX/Z4M=")</f>
        <v>#REF!</v>
      </c>
      <c r="EC30" t="e">
        <f>AND(#REF!,"AAAAAGX/Z4Q=")</f>
        <v>#REF!</v>
      </c>
      <c r="ED30" t="e">
        <f>AND(#REF!,"AAAAAGX/Z4U=")</f>
        <v>#REF!</v>
      </c>
      <c r="EE30" t="e">
        <f>AND(#REF!,"AAAAAGX/Z4Y=")</f>
        <v>#REF!</v>
      </c>
      <c r="EF30" t="e">
        <f>AND(#REF!,"AAAAAGX/Z4c=")</f>
        <v>#REF!</v>
      </c>
      <c r="EG30" t="e">
        <f>AND(#REF!,"AAAAAGX/Z4g=")</f>
        <v>#REF!</v>
      </c>
      <c r="EH30" t="e">
        <f>AND(#REF!,"AAAAAGX/Z4k=")</f>
        <v>#REF!</v>
      </c>
      <c r="EI30" t="e">
        <f>AND(#REF!,"AAAAAGX/Z4o=")</f>
        <v>#REF!</v>
      </c>
      <c r="EJ30" t="e">
        <f>AND(#REF!,"AAAAAGX/Z4s=")</f>
        <v>#REF!</v>
      </c>
      <c r="EK30" t="e">
        <f>AND(#REF!,"AAAAAGX/Z4w=")</f>
        <v>#REF!</v>
      </c>
      <c r="EL30" t="e">
        <f>AND(#REF!,"AAAAAGX/Z40=")</f>
        <v>#REF!</v>
      </c>
      <c r="EM30" t="e">
        <f>AND(#REF!,"AAAAAGX/Z44=")</f>
        <v>#REF!</v>
      </c>
      <c r="EN30" t="e">
        <f>AND(#REF!,"AAAAAGX/Z48=")</f>
        <v>#REF!</v>
      </c>
      <c r="EO30" t="e">
        <f>AND(#REF!,"AAAAAGX/Z5A=")</f>
        <v>#REF!</v>
      </c>
      <c r="EP30" t="e">
        <f>AND(#REF!,"AAAAAGX/Z5E=")</f>
        <v>#REF!</v>
      </c>
      <c r="EQ30" t="e">
        <f>AND(#REF!,"AAAAAGX/Z5I=")</f>
        <v>#REF!</v>
      </c>
      <c r="ER30" t="e">
        <f>AND(#REF!,"AAAAAGX/Z5M=")</f>
        <v>#REF!</v>
      </c>
      <c r="ES30" t="e">
        <f>AND(#REF!,"AAAAAGX/Z5Q=")</f>
        <v>#REF!</v>
      </c>
      <c r="ET30" t="e">
        <f>AND(#REF!,"AAAAAGX/Z5U=")</f>
        <v>#REF!</v>
      </c>
      <c r="EU30" t="e">
        <f>AND(#REF!,"AAAAAGX/Z5Y=")</f>
        <v>#REF!</v>
      </c>
      <c r="EV30" t="e">
        <f>AND(#REF!,"AAAAAGX/Z5c=")</f>
        <v>#REF!</v>
      </c>
      <c r="EW30" t="e">
        <f>AND(#REF!,"AAAAAGX/Z5g=")</f>
        <v>#REF!</v>
      </c>
      <c r="EX30" t="e">
        <f>AND(#REF!,"AAAAAGX/Z5k=")</f>
        <v>#REF!</v>
      </c>
      <c r="EY30" t="e">
        <f>AND(#REF!,"AAAAAGX/Z5o=")</f>
        <v>#REF!</v>
      </c>
      <c r="EZ30" t="e">
        <f>AND(#REF!,"AAAAAGX/Z5s=")</f>
        <v>#REF!</v>
      </c>
      <c r="FA30" t="e">
        <f>AND(#REF!,"AAAAAGX/Z5w=")</f>
        <v>#REF!</v>
      </c>
      <c r="FB30" t="e">
        <f>AND(#REF!,"AAAAAGX/Z50=")</f>
        <v>#REF!</v>
      </c>
      <c r="FC30" t="e">
        <f>AND(#REF!,"AAAAAGX/Z54=")</f>
        <v>#REF!</v>
      </c>
      <c r="FD30" t="e">
        <f>AND(#REF!,"AAAAAGX/Z58=")</f>
        <v>#REF!</v>
      </c>
      <c r="FE30" t="e">
        <f>AND(#REF!,"AAAAAGX/Z6A=")</f>
        <v>#REF!</v>
      </c>
      <c r="FF30" t="e">
        <f>AND(#REF!,"AAAAAGX/Z6E=")</f>
        <v>#REF!</v>
      </c>
      <c r="FG30" t="e">
        <f>AND(#REF!,"AAAAAGX/Z6I=")</f>
        <v>#REF!</v>
      </c>
      <c r="FH30" t="e">
        <f>AND(#REF!,"AAAAAGX/Z6M=")</f>
        <v>#REF!</v>
      </c>
      <c r="FI30" t="e">
        <f>AND(#REF!,"AAAAAGX/Z6Q=")</f>
        <v>#REF!</v>
      </c>
      <c r="FJ30" t="e">
        <f>AND(#REF!,"AAAAAGX/Z6U=")</f>
        <v>#REF!</v>
      </c>
      <c r="FK30" t="e">
        <f>AND(#REF!,"AAAAAGX/Z6Y=")</f>
        <v>#REF!</v>
      </c>
      <c r="FL30" t="e">
        <f>AND(#REF!,"AAAAAGX/Z6c=")</f>
        <v>#REF!</v>
      </c>
      <c r="FM30" t="e">
        <f>AND(#REF!,"AAAAAGX/Z6g=")</f>
        <v>#REF!</v>
      </c>
      <c r="FN30" t="e">
        <f>AND(#REF!,"AAAAAGX/Z6k=")</f>
        <v>#REF!</v>
      </c>
      <c r="FO30" t="e">
        <f>AND(#REF!,"AAAAAGX/Z6o=")</f>
        <v>#REF!</v>
      </c>
      <c r="FP30" t="e">
        <f>AND(#REF!,"AAAAAGX/Z6s=")</f>
        <v>#REF!</v>
      </c>
      <c r="FQ30" t="e">
        <f>AND(#REF!,"AAAAAGX/Z6w=")</f>
        <v>#REF!</v>
      </c>
      <c r="FR30" t="e">
        <f>AND(#REF!,"AAAAAGX/Z60=")</f>
        <v>#REF!</v>
      </c>
      <c r="FS30" t="e">
        <f>AND(#REF!,"AAAAAGX/Z64=")</f>
        <v>#REF!</v>
      </c>
      <c r="FT30" t="e">
        <f>AND(#REF!,"AAAAAGX/Z68=")</f>
        <v>#REF!</v>
      </c>
      <c r="FU30" t="e">
        <f>AND(#REF!,"AAAAAGX/Z7A=")</f>
        <v>#REF!</v>
      </c>
      <c r="FV30" t="e">
        <f>AND(#REF!,"AAAAAGX/Z7E=")</f>
        <v>#REF!</v>
      </c>
      <c r="FW30" t="e">
        <f>AND(#REF!,"AAAAAGX/Z7I=")</f>
        <v>#REF!</v>
      </c>
      <c r="FX30" t="e">
        <f>AND(#REF!,"AAAAAGX/Z7M=")</f>
        <v>#REF!</v>
      </c>
      <c r="FY30" t="e">
        <f>AND(#REF!,"AAAAAGX/Z7Q=")</f>
        <v>#REF!</v>
      </c>
      <c r="FZ30" t="e">
        <f>AND(#REF!,"AAAAAGX/Z7U=")</f>
        <v>#REF!</v>
      </c>
      <c r="GA30" t="e">
        <f>AND(#REF!,"AAAAAGX/Z7Y=")</f>
        <v>#REF!</v>
      </c>
      <c r="GB30" t="e">
        <f>AND(#REF!,"AAAAAGX/Z7c=")</f>
        <v>#REF!</v>
      </c>
      <c r="GC30" t="e">
        <f>AND(#REF!,"AAAAAGX/Z7g=")</f>
        <v>#REF!</v>
      </c>
      <c r="GD30" t="e">
        <f>AND(#REF!,"AAAAAGX/Z7k=")</f>
        <v>#REF!</v>
      </c>
      <c r="GE30" t="e">
        <f>AND(#REF!,"AAAAAGX/Z7o=")</f>
        <v>#REF!</v>
      </c>
      <c r="GF30" t="e">
        <f>AND(#REF!,"AAAAAGX/Z7s=")</f>
        <v>#REF!</v>
      </c>
      <c r="GG30" t="e">
        <f>AND(#REF!,"AAAAAGX/Z7w=")</f>
        <v>#REF!</v>
      </c>
      <c r="GH30" t="e">
        <f>AND(#REF!,"AAAAAGX/Z70=")</f>
        <v>#REF!</v>
      </c>
      <c r="GI30" t="e">
        <f>AND(#REF!,"AAAAAGX/Z74=")</f>
        <v>#REF!</v>
      </c>
      <c r="GJ30" t="e">
        <f>IF(#REF!,"AAAAAGX/Z78=",0)</f>
        <v>#REF!</v>
      </c>
      <c r="GK30" t="e">
        <f>AND(#REF!,"AAAAAGX/Z8A=")</f>
        <v>#REF!</v>
      </c>
      <c r="GL30" t="e">
        <f>AND(#REF!,"AAAAAGX/Z8E=")</f>
        <v>#REF!</v>
      </c>
      <c r="GM30" t="e">
        <f>AND(#REF!,"AAAAAGX/Z8I=")</f>
        <v>#REF!</v>
      </c>
      <c r="GN30" t="e">
        <f>AND(#REF!,"AAAAAGX/Z8M=")</f>
        <v>#REF!</v>
      </c>
      <c r="GO30" t="e">
        <f>AND(#REF!,"AAAAAGX/Z8Q=")</f>
        <v>#REF!</v>
      </c>
      <c r="GP30" t="e">
        <f>AND(#REF!,"AAAAAGX/Z8U=")</f>
        <v>#REF!</v>
      </c>
      <c r="GQ30" t="e">
        <f>AND(#REF!,"AAAAAGX/Z8Y=")</f>
        <v>#REF!</v>
      </c>
      <c r="GR30" t="e">
        <f>AND(#REF!,"AAAAAGX/Z8c=")</f>
        <v>#REF!</v>
      </c>
      <c r="GS30" t="e">
        <f>AND(#REF!,"AAAAAGX/Z8g=")</f>
        <v>#REF!</v>
      </c>
      <c r="GT30" t="e">
        <f>AND(#REF!,"AAAAAGX/Z8k=")</f>
        <v>#REF!</v>
      </c>
      <c r="GU30" t="e">
        <f>AND(#REF!,"AAAAAGX/Z8o=")</f>
        <v>#REF!</v>
      </c>
      <c r="GV30" t="e">
        <f>AND(#REF!,"AAAAAGX/Z8s=")</f>
        <v>#REF!</v>
      </c>
      <c r="GW30" t="e">
        <f>AND(#REF!,"AAAAAGX/Z8w=")</f>
        <v>#REF!</v>
      </c>
      <c r="GX30" t="e">
        <f>AND(#REF!,"AAAAAGX/Z80=")</f>
        <v>#REF!</v>
      </c>
      <c r="GY30" t="e">
        <f>AND(#REF!,"AAAAAGX/Z84=")</f>
        <v>#REF!</v>
      </c>
      <c r="GZ30" t="e">
        <f>AND(#REF!,"AAAAAGX/Z88=")</f>
        <v>#REF!</v>
      </c>
      <c r="HA30" t="e">
        <f>AND(#REF!,"AAAAAGX/Z9A=")</f>
        <v>#REF!</v>
      </c>
      <c r="HB30" t="e">
        <f>AND(#REF!,"AAAAAGX/Z9E=")</f>
        <v>#REF!</v>
      </c>
      <c r="HC30" t="e">
        <f>AND(#REF!,"AAAAAGX/Z9I=")</f>
        <v>#REF!</v>
      </c>
      <c r="HD30" t="e">
        <f>AND(#REF!,"AAAAAGX/Z9M=")</f>
        <v>#REF!</v>
      </c>
      <c r="HE30" t="e">
        <f>AND(#REF!,"AAAAAGX/Z9Q=")</f>
        <v>#REF!</v>
      </c>
      <c r="HF30" t="e">
        <f>AND(#REF!,"AAAAAGX/Z9U=")</f>
        <v>#REF!</v>
      </c>
      <c r="HG30" t="e">
        <f>AND(#REF!,"AAAAAGX/Z9Y=")</f>
        <v>#REF!</v>
      </c>
      <c r="HH30" t="e">
        <f>AND(#REF!,"AAAAAGX/Z9c=")</f>
        <v>#REF!</v>
      </c>
      <c r="HI30" t="e">
        <f>AND(#REF!,"AAAAAGX/Z9g=")</f>
        <v>#REF!</v>
      </c>
      <c r="HJ30" t="e">
        <f>AND(#REF!,"AAAAAGX/Z9k=")</f>
        <v>#REF!</v>
      </c>
      <c r="HK30" t="e">
        <f>AND(#REF!,"AAAAAGX/Z9o=")</f>
        <v>#REF!</v>
      </c>
      <c r="HL30" t="e">
        <f>AND(#REF!,"AAAAAGX/Z9s=")</f>
        <v>#REF!</v>
      </c>
      <c r="HM30" t="e">
        <f>AND(#REF!,"AAAAAGX/Z9w=")</f>
        <v>#REF!</v>
      </c>
      <c r="HN30" t="e">
        <f>AND(#REF!,"AAAAAGX/Z90=")</f>
        <v>#REF!</v>
      </c>
      <c r="HO30" t="e">
        <f>AND(#REF!,"AAAAAGX/Z94=")</f>
        <v>#REF!</v>
      </c>
      <c r="HP30" t="e">
        <f>AND(#REF!,"AAAAAGX/Z98=")</f>
        <v>#REF!</v>
      </c>
      <c r="HQ30" t="e">
        <f>AND(#REF!,"AAAAAGX/Z+A=")</f>
        <v>#REF!</v>
      </c>
      <c r="HR30" t="e">
        <f>AND(#REF!,"AAAAAGX/Z+E=")</f>
        <v>#REF!</v>
      </c>
      <c r="HS30" t="e">
        <f>AND(#REF!,"AAAAAGX/Z+I=")</f>
        <v>#REF!</v>
      </c>
      <c r="HT30" t="e">
        <f>AND(#REF!,"AAAAAGX/Z+M=")</f>
        <v>#REF!</v>
      </c>
      <c r="HU30" t="e">
        <f>AND(#REF!,"AAAAAGX/Z+Q=")</f>
        <v>#REF!</v>
      </c>
      <c r="HV30" t="e">
        <f>AND(#REF!,"AAAAAGX/Z+U=")</f>
        <v>#REF!</v>
      </c>
      <c r="HW30" t="e">
        <f>AND(#REF!,"AAAAAGX/Z+Y=")</f>
        <v>#REF!</v>
      </c>
      <c r="HX30" t="e">
        <f>AND(#REF!,"AAAAAGX/Z+c=")</f>
        <v>#REF!</v>
      </c>
      <c r="HY30" t="e">
        <f>AND(#REF!,"AAAAAGX/Z+g=")</f>
        <v>#REF!</v>
      </c>
      <c r="HZ30" t="e">
        <f>AND(#REF!,"AAAAAGX/Z+k=")</f>
        <v>#REF!</v>
      </c>
      <c r="IA30" t="e">
        <f>AND(#REF!,"AAAAAGX/Z+o=")</f>
        <v>#REF!</v>
      </c>
      <c r="IB30" t="e">
        <f>AND(#REF!,"AAAAAGX/Z+s=")</f>
        <v>#REF!</v>
      </c>
      <c r="IC30" t="e">
        <f>AND(#REF!,"AAAAAGX/Z+w=")</f>
        <v>#REF!</v>
      </c>
      <c r="ID30" t="e">
        <f>AND(#REF!,"AAAAAGX/Z+0=")</f>
        <v>#REF!</v>
      </c>
      <c r="IE30" t="e">
        <f>AND(#REF!,"AAAAAGX/Z+4=")</f>
        <v>#REF!</v>
      </c>
      <c r="IF30" t="e">
        <f>AND(#REF!,"AAAAAGX/Z+8=")</f>
        <v>#REF!</v>
      </c>
      <c r="IG30" t="e">
        <f>AND(#REF!,"AAAAAGX/Z/A=")</f>
        <v>#REF!</v>
      </c>
      <c r="IH30" t="e">
        <f>AND(#REF!,"AAAAAGX/Z/E=")</f>
        <v>#REF!</v>
      </c>
      <c r="II30" t="e">
        <f>AND(#REF!,"AAAAAGX/Z/I=")</f>
        <v>#REF!</v>
      </c>
      <c r="IJ30" t="e">
        <f>AND(#REF!,"AAAAAGX/Z/M=")</f>
        <v>#REF!</v>
      </c>
      <c r="IK30" t="e">
        <f>AND(#REF!,"AAAAAGX/Z/Q=")</f>
        <v>#REF!</v>
      </c>
      <c r="IL30" t="e">
        <f>AND(#REF!,"AAAAAGX/Z/U=")</f>
        <v>#REF!</v>
      </c>
      <c r="IM30" t="e">
        <f>AND(#REF!,"AAAAAGX/Z/Y=")</f>
        <v>#REF!</v>
      </c>
      <c r="IN30" t="e">
        <f>AND(#REF!,"AAAAAGX/Z/c=")</f>
        <v>#REF!</v>
      </c>
      <c r="IO30" t="e">
        <f>AND(#REF!,"AAAAAGX/Z/g=")</f>
        <v>#REF!</v>
      </c>
      <c r="IP30" t="e">
        <f>AND(#REF!,"AAAAAGX/Z/k=")</f>
        <v>#REF!</v>
      </c>
      <c r="IQ30" t="e">
        <f>AND(#REF!,"AAAAAGX/Z/o=")</f>
        <v>#REF!</v>
      </c>
      <c r="IR30" t="e">
        <f>AND(#REF!,"AAAAAGX/Z/s=")</f>
        <v>#REF!</v>
      </c>
      <c r="IS30" t="e">
        <f>AND(#REF!,"AAAAAGX/Z/w=")</f>
        <v>#REF!</v>
      </c>
      <c r="IT30" t="e">
        <f>AND(#REF!,"AAAAAGX/Z/0=")</f>
        <v>#REF!</v>
      </c>
      <c r="IU30" t="e">
        <f>AND(#REF!,"AAAAAGX/Z/4=")</f>
        <v>#REF!</v>
      </c>
      <c r="IV30" t="e">
        <f>AND(#REF!,"AAAAAGX/Z/8=")</f>
        <v>#REF!</v>
      </c>
    </row>
    <row r="31" spans="1:256" ht="15">
      <c r="A31" t="e">
        <f>AND(#REF!,"AAAAAH9NrwA=")</f>
        <v>#REF!</v>
      </c>
      <c r="B31" t="e">
        <f>AND(#REF!,"AAAAAH9NrwE=")</f>
        <v>#REF!</v>
      </c>
      <c r="C31" t="e">
        <f>AND(#REF!,"AAAAAH9NrwI=")</f>
        <v>#REF!</v>
      </c>
      <c r="D31" t="e">
        <f>AND(#REF!,"AAAAAH9NrwM=")</f>
        <v>#REF!</v>
      </c>
      <c r="E31" t="e">
        <f>AND(#REF!,"AAAAAH9NrwQ=")</f>
        <v>#REF!</v>
      </c>
      <c r="F31" t="e">
        <f>AND(#REF!,"AAAAAH9NrwU=")</f>
        <v>#REF!</v>
      </c>
      <c r="G31" t="e">
        <f>AND(#REF!,"AAAAAH9NrwY=")</f>
        <v>#REF!</v>
      </c>
      <c r="H31" t="e">
        <f>AND(#REF!,"AAAAAH9Nrwc=")</f>
        <v>#REF!</v>
      </c>
      <c r="I31" t="e">
        <f>AND(#REF!,"AAAAAH9Nrwg=")</f>
        <v>#REF!</v>
      </c>
      <c r="J31" t="e">
        <f>AND(#REF!,"AAAAAH9Nrwk=")</f>
        <v>#REF!</v>
      </c>
      <c r="K31" t="e">
        <f>AND(#REF!,"AAAAAH9Nrwo=")</f>
        <v>#REF!</v>
      </c>
      <c r="L31" t="e">
        <f>AND(#REF!,"AAAAAH9Nrws=")</f>
        <v>#REF!</v>
      </c>
      <c r="M31" t="e">
        <f>AND(#REF!,"AAAAAH9Nrww=")</f>
        <v>#REF!</v>
      </c>
      <c r="N31" t="e">
        <f>AND(#REF!,"AAAAAH9Nrw0=")</f>
        <v>#REF!</v>
      </c>
      <c r="O31" t="e">
        <f>AND(#REF!,"AAAAAH9Nrw4=")</f>
        <v>#REF!</v>
      </c>
      <c r="P31" t="e">
        <f>AND(#REF!,"AAAAAH9Nrw8=")</f>
        <v>#REF!</v>
      </c>
      <c r="Q31" t="e">
        <f>AND(#REF!,"AAAAAH9NrxA=")</f>
        <v>#REF!</v>
      </c>
      <c r="R31" t="e">
        <f>AND(#REF!,"AAAAAH9NrxE=")</f>
        <v>#REF!</v>
      </c>
      <c r="S31" t="e">
        <f>AND(#REF!,"AAAAAH9NrxI=")</f>
        <v>#REF!</v>
      </c>
      <c r="T31" t="e">
        <f>AND(#REF!,"AAAAAH9NrxM=")</f>
        <v>#REF!</v>
      </c>
      <c r="U31" t="e">
        <f>AND(#REF!,"AAAAAH9NrxQ=")</f>
        <v>#REF!</v>
      </c>
      <c r="V31" t="e">
        <f>AND(#REF!,"AAAAAH9NrxU=")</f>
        <v>#REF!</v>
      </c>
      <c r="W31" t="e">
        <f>AND(#REF!,"AAAAAH9NrxY=")</f>
        <v>#REF!</v>
      </c>
      <c r="X31" t="e">
        <f>AND(#REF!,"AAAAAH9Nrxc=")</f>
        <v>#REF!</v>
      </c>
      <c r="Y31" t="e">
        <f>AND(#REF!,"AAAAAH9Nrxg=")</f>
        <v>#REF!</v>
      </c>
      <c r="Z31" t="e">
        <f>AND(#REF!,"AAAAAH9Nrxk=")</f>
        <v>#REF!</v>
      </c>
      <c r="AA31" t="e">
        <f>AND(#REF!,"AAAAAH9Nrxo=")</f>
        <v>#REF!</v>
      </c>
      <c r="AB31" t="e">
        <f>AND(#REF!,"AAAAAH9Nrxs=")</f>
        <v>#REF!</v>
      </c>
      <c r="AC31" t="e">
        <f>AND(#REF!,"AAAAAH9Nrxw=")</f>
        <v>#REF!</v>
      </c>
      <c r="AD31" t="e">
        <f>AND(#REF!,"AAAAAH9Nrx0=")</f>
        <v>#REF!</v>
      </c>
      <c r="AE31" t="e">
        <f>AND(#REF!,"AAAAAH9Nrx4=")</f>
        <v>#REF!</v>
      </c>
      <c r="AF31" t="e">
        <f>AND(#REF!,"AAAAAH9Nrx8=")</f>
        <v>#REF!</v>
      </c>
      <c r="AG31" t="e">
        <f>AND(#REF!,"AAAAAH9NryA=")</f>
        <v>#REF!</v>
      </c>
      <c r="AH31" t="e">
        <f>AND(#REF!,"AAAAAH9NryE=")</f>
        <v>#REF!</v>
      </c>
      <c r="AI31" t="e">
        <f>AND(#REF!,"AAAAAH9NryI=")</f>
        <v>#REF!</v>
      </c>
      <c r="AJ31" t="e">
        <f>AND(#REF!,"AAAAAH9NryM=")</f>
        <v>#REF!</v>
      </c>
      <c r="AK31" t="e">
        <f>AND(#REF!,"AAAAAH9NryQ=")</f>
        <v>#REF!</v>
      </c>
      <c r="AL31" t="e">
        <f>AND(#REF!,"AAAAAH9NryU=")</f>
        <v>#REF!</v>
      </c>
      <c r="AM31" t="e">
        <f>AND(#REF!,"AAAAAH9NryY=")</f>
        <v>#REF!</v>
      </c>
      <c r="AN31" t="e">
        <f>AND(#REF!,"AAAAAH9Nryc=")</f>
        <v>#REF!</v>
      </c>
      <c r="AO31" t="e">
        <f>AND(#REF!,"AAAAAH9Nryg=")</f>
        <v>#REF!</v>
      </c>
      <c r="AP31" t="e">
        <f>AND(#REF!,"AAAAAH9Nryk=")</f>
        <v>#REF!</v>
      </c>
      <c r="AQ31" t="e">
        <f>AND(#REF!,"AAAAAH9Nryo=")</f>
        <v>#REF!</v>
      </c>
      <c r="AR31" t="e">
        <f>AND(#REF!,"AAAAAH9Nrys=")</f>
        <v>#REF!</v>
      </c>
      <c r="AS31" t="e">
        <f>AND(#REF!,"AAAAAH9Nryw=")</f>
        <v>#REF!</v>
      </c>
      <c r="AT31" t="e">
        <f>AND(#REF!,"AAAAAH9Nry0=")</f>
        <v>#REF!</v>
      </c>
      <c r="AU31" t="e">
        <f>AND(#REF!,"AAAAAH9Nry4=")</f>
        <v>#REF!</v>
      </c>
      <c r="AV31" t="e">
        <f>AND(#REF!,"AAAAAH9Nry8=")</f>
        <v>#REF!</v>
      </c>
      <c r="AW31" t="e">
        <f>AND(#REF!,"AAAAAH9NrzA=")</f>
        <v>#REF!</v>
      </c>
      <c r="AX31" t="e">
        <f>AND(#REF!,"AAAAAH9NrzE=")</f>
        <v>#REF!</v>
      </c>
      <c r="AY31" t="e">
        <f>AND(#REF!,"AAAAAH9NrzI=")</f>
        <v>#REF!</v>
      </c>
      <c r="AZ31" t="e">
        <f>AND(#REF!,"AAAAAH9NrzM=")</f>
        <v>#REF!</v>
      </c>
      <c r="BA31" t="e">
        <f>AND(#REF!,"AAAAAH9NrzQ=")</f>
        <v>#REF!</v>
      </c>
      <c r="BB31" t="e">
        <f>AND(#REF!,"AAAAAH9NrzU=")</f>
        <v>#REF!</v>
      </c>
      <c r="BC31" t="e">
        <f>AND(#REF!,"AAAAAH9NrzY=")</f>
        <v>#REF!</v>
      </c>
      <c r="BD31" t="e">
        <f>AND(#REF!,"AAAAAH9Nrzc=")</f>
        <v>#REF!</v>
      </c>
      <c r="BE31" t="e">
        <f>AND(#REF!,"AAAAAH9Nrzg=")</f>
        <v>#REF!</v>
      </c>
      <c r="BF31" t="e">
        <f>AND(#REF!,"AAAAAH9Nrzk=")</f>
        <v>#REF!</v>
      </c>
      <c r="BG31" t="e">
        <f>AND(#REF!,"AAAAAH9Nrzo=")</f>
        <v>#REF!</v>
      </c>
      <c r="BH31" t="e">
        <f>AND(#REF!,"AAAAAH9Nrzs=")</f>
        <v>#REF!</v>
      </c>
      <c r="BI31" t="e">
        <f>AND(#REF!,"AAAAAH9Nrzw=")</f>
        <v>#REF!</v>
      </c>
      <c r="BJ31" t="e">
        <f>AND(#REF!,"AAAAAH9Nrz0=")</f>
        <v>#REF!</v>
      </c>
      <c r="BK31" t="e">
        <f>AND(#REF!,"AAAAAH9Nrz4=")</f>
        <v>#REF!</v>
      </c>
      <c r="BL31" t="e">
        <f>AND(#REF!,"AAAAAH9Nrz8=")</f>
        <v>#REF!</v>
      </c>
      <c r="BM31" t="e">
        <f>AND(#REF!,"AAAAAH9Nr0A=")</f>
        <v>#REF!</v>
      </c>
      <c r="BN31" t="e">
        <f>AND(#REF!,"AAAAAH9Nr0E=")</f>
        <v>#REF!</v>
      </c>
      <c r="BO31" t="e">
        <f>AND(#REF!,"AAAAAH9Nr0I=")</f>
        <v>#REF!</v>
      </c>
      <c r="BP31" t="e">
        <f>AND(#REF!,"AAAAAH9Nr0M=")</f>
        <v>#REF!</v>
      </c>
      <c r="BQ31" t="e">
        <f>AND(#REF!,"AAAAAH9Nr0Q=")</f>
        <v>#REF!</v>
      </c>
      <c r="BR31" t="e">
        <f>AND(#REF!,"AAAAAH9Nr0U=")</f>
        <v>#REF!</v>
      </c>
      <c r="BS31" t="e">
        <f>AND(#REF!,"AAAAAH9Nr0Y=")</f>
        <v>#REF!</v>
      </c>
      <c r="BT31" t="e">
        <f>IF(#REF!,"AAAAAH9Nr0c=",0)</f>
        <v>#REF!</v>
      </c>
      <c r="BU31" t="e">
        <f>AND(#REF!,"AAAAAH9Nr0g=")</f>
        <v>#REF!</v>
      </c>
      <c r="BV31" t="e">
        <f>AND(#REF!,"AAAAAH9Nr0k=")</f>
        <v>#REF!</v>
      </c>
      <c r="BW31" t="e">
        <f>AND(#REF!,"AAAAAH9Nr0o=")</f>
        <v>#REF!</v>
      </c>
      <c r="BX31" t="e">
        <f>AND(#REF!,"AAAAAH9Nr0s=")</f>
        <v>#REF!</v>
      </c>
      <c r="BY31" t="e">
        <f>AND(#REF!,"AAAAAH9Nr0w=")</f>
        <v>#REF!</v>
      </c>
      <c r="BZ31" t="e">
        <f>AND(#REF!,"AAAAAH9Nr00=")</f>
        <v>#REF!</v>
      </c>
      <c r="CA31" t="e">
        <f>AND(#REF!,"AAAAAH9Nr04=")</f>
        <v>#REF!</v>
      </c>
      <c r="CB31" t="e">
        <f>AND(#REF!,"AAAAAH9Nr08=")</f>
        <v>#REF!</v>
      </c>
      <c r="CC31" t="e">
        <f>AND(#REF!,"AAAAAH9Nr1A=")</f>
        <v>#REF!</v>
      </c>
      <c r="CD31" t="e">
        <f>AND(#REF!,"AAAAAH9Nr1E=")</f>
        <v>#REF!</v>
      </c>
      <c r="CE31" t="e">
        <f>AND(#REF!,"AAAAAH9Nr1I=")</f>
        <v>#REF!</v>
      </c>
      <c r="CF31" t="e">
        <f>AND(#REF!,"AAAAAH9Nr1M=")</f>
        <v>#REF!</v>
      </c>
      <c r="CG31" t="e">
        <f>AND(#REF!,"AAAAAH9Nr1Q=")</f>
        <v>#REF!</v>
      </c>
      <c r="CH31" t="e">
        <f>AND(#REF!,"AAAAAH9Nr1U=")</f>
        <v>#REF!</v>
      </c>
      <c r="CI31" t="e">
        <f>AND(#REF!,"AAAAAH9Nr1Y=")</f>
        <v>#REF!</v>
      </c>
      <c r="CJ31" t="e">
        <f>AND(#REF!,"AAAAAH9Nr1c=")</f>
        <v>#REF!</v>
      </c>
      <c r="CK31" t="e">
        <f>AND(#REF!,"AAAAAH9Nr1g=")</f>
        <v>#REF!</v>
      </c>
      <c r="CL31" t="e">
        <f>AND(#REF!,"AAAAAH9Nr1k=")</f>
        <v>#REF!</v>
      </c>
      <c r="CM31" t="e">
        <f>AND(#REF!,"AAAAAH9Nr1o=")</f>
        <v>#REF!</v>
      </c>
      <c r="CN31" t="e">
        <f>AND(#REF!,"AAAAAH9Nr1s=")</f>
        <v>#REF!</v>
      </c>
      <c r="CO31" t="e">
        <f>AND(#REF!,"AAAAAH9Nr1w=")</f>
        <v>#REF!</v>
      </c>
      <c r="CP31" t="e">
        <f>AND(#REF!,"AAAAAH9Nr10=")</f>
        <v>#REF!</v>
      </c>
      <c r="CQ31" t="e">
        <f>AND(#REF!,"AAAAAH9Nr14=")</f>
        <v>#REF!</v>
      </c>
      <c r="CR31" t="e">
        <f>AND(#REF!,"AAAAAH9Nr18=")</f>
        <v>#REF!</v>
      </c>
      <c r="CS31" t="e">
        <f>AND(#REF!,"AAAAAH9Nr2A=")</f>
        <v>#REF!</v>
      </c>
      <c r="CT31" t="e">
        <f>AND(#REF!,"AAAAAH9Nr2E=")</f>
        <v>#REF!</v>
      </c>
      <c r="CU31" t="e">
        <f>AND(#REF!,"AAAAAH9Nr2I=")</f>
        <v>#REF!</v>
      </c>
      <c r="CV31" t="e">
        <f>AND(#REF!,"AAAAAH9Nr2M=")</f>
        <v>#REF!</v>
      </c>
      <c r="CW31" t="e">
        <f>AND(#REF!,"AAAAAH9Nr2Q=")</f>
        <v>#REF!</v>
      </c>
      <c r="CX31" t="e">
        <f>AND(#REF!,"AAAAAH9Nr2U=")</f>
        <v>#REF!</v>
      </c>
      <c r="CY31" t="e">
        <f>AND(#REF!,"AAAAAH9Nr2Y=")</f>
        <v>#REF!</v>
      </c>
      <c r="CZ31" t="e">
        <f>AND(#REF!,"AAAAAH9Nr2c=")</f>
        <v>#REF!</v>
      </c>
      <c r="DA31" t="e">
        <f>AND(#REF!,"AAAAAH9Nr2g=")</f>
        <v>#REF!</v>
      </c>
      <c r="DB31" t="e">
        <f>AND(#REF!,"AAAAAH9Nr2k=")</f>
        <v>#REF!</v>
      </c>
      <c r="DC31" t="e">
        <f>AND(#REF!,"AAAAAH9Nr2o=")</f>
        <v>#REF!</v>
      </c>
      <c r="DD31" t="e">
        <f>AND(#REF!,"AAAAAH9Nr2s=")</f>
        <v>#REF!</v>
      </c>
      <c r="DE31" t="e">
        <f>AND(#REF!,"AAAAAH9Nr2w=")</f>
        <v>#REF!</v>
      </c>
      <c r="DF31" t="e">
        <f>AND(#REF!,"AAAAAH9Nr20=")</f>
        <v>#REF!</v>
      </c>
      <c r="DG31" t="e">
        <f>AND(#REF!,"AAAAAH9Nr24=")</f>
        <v>#REF!</v>
      </c>
      <c r="DH31" t="e">
        <f>AND(#REF!,"AAAAAH9Nr28=")</f>
        <v>#REF!</v>
      </c>
      <c r="DI31" t="e">
        <f>AND(#REF!,"AAAAAH9Nr3A=")</f>
        <v>#REF!</v>
      </c>
      <c r="DJ31" t="e">
        <f>AND(#REF!,"AAAAAH9Nr3E=")</f>
        <v>#REF!</v>
      </c>
      <c r="DK31" t="e">
        <f>AND(#REF!,"AAAAAH9Nr3I=")</f>
        <v>#REF!</v>
      </c>
      <c r="DL31" t="e">
        <f>AND(#REF!,"AAAAAH9Nr3M=")</f>
        <v>#REF!</v>
      </c>
      <c r="DM31" t="e">
        <f>AND(#REF!,"AAAAAH9Nr3Q=")</f>
        <v>#REF!</v>
      </c>
      <c r="DN31" t="e">
        <f>AND(#REF!,"AAAAAH9Nr3U=")</f>
        <v>#REF!</v>
      </c>
      <c r="DO31" t="e">
        <f>AND(#REF!,"AAAAAH9Nr3Y=")</f>
        <v>#REF!</v>
      </c>
      <c r="DP31" t="e">
        <f>AND(#REF!,"AAAAAH9Nr3c=")</f>
        <v>#REF!</v>
      </c>
      <c r="DQ31" t="e">
        <f>AND(#REF!,"AAAAAH9Nr3g=")</f>
        <v>#REF!</v>
      </c>
      <c r="DR31" t="e">
        <f>AND(#REF!,"AAAAAH9Nr3k=")</f>
        <v>#REF!</v>
      </c>
      <c r="DS31" t="e">
        <f>AND(#REF!,"AAAAAH9Nr3o=")</f>
        <v>#REF!</v>
      </c>
      <c r="DT31" t="e">
        <f>AND(#REF!,"AAAAAH9Nr3s=")</f>
        <v>#REF!</v>
      </c>
      <c r="DU31" t="e">
        <f>AND(#REF!,"AAAAAH9Nr3w=")</f>
        <v>#REF!</v>
      </c>
      <c r="DV31" t="e">
        <f>AND(#REF!,"AAAAAH9Nr30=")</f>
        <v>#REF!</v>
      </c>
      <c r="DW31" t="e">
        <f>AND(#REF!,"AAAAAH9Nr34=")</f>
        <v>#REF!</v>
      </c>
      <c r="DX31" t="e">
        <f>AND(#REF!,"AAAAAH9Nr38=")</f>
        <v>#REF!</v>
      </c>
      <c r="DY31" t="e">
        <f>AND(#REF!,"AAAAAH9Nr4A=")</f>
        <v>#REF!</v>
      </c>
      <c r="DZ31" t="e">
        <f>AND(#REF!,"AAAAAH9Nr4E=")</f>
        <v>#REF!</v>
      </c>
      <c r="EA31" t="e">
        <f>AND(#REF!,"AAAAAH9Nr4I=")</f>
        <v>#REF!</v>
      </c>
      <c r="EB31" t="e">
        <f>AND(#REF!,"AAAAAH9Nr4M=")</f>
        <v>#REF!</v>
      </c>
      <c r="EC31" t="e">
        <f>AND(#REF!,"AAAAAH9Nr4Q=")</f>
        <v>#REF!</v>
      </c>
      <c r="ED31" t="e">
        <f>AND(#REF!,"AAAAAH9Nr4U=")</f>
        <v>#REF!</v>
      </c>
      <c r="EE31" t="e">
        <f>AND(#REF!,"AAAAAH9Nr4Y=")</f>
        <v>#REF!</v>
      </c>
      <c r="EF31" t="e">
        <f>AND(#REF!,"AAAAAH9Nr4c=")</f>
        <v>#REF!</v>
      </c>
      <c r="EG31" t="e">
        <f>AND(#REF!,"AAAAAH9Nr4g=")</f>
        <v>#REF!</v>
      </c>
      <c r="EH31" t="e">
        <f>AND(#REF!,"AAAAAH9Nr4k=")</f>
        <v>#REF!</v>
      </c>
      <c r="EI31" t="e">
        <f>AND(#REF!,"AAAAAH9Nr4o=")</f>
        <v>#REF!</v>
      </c>
      <c r="EJ31" t="e">
        <f>AND(#REF!,"AAAAAH9Nr4s=")</f>
        <v>#REF!</v>
      </c>
      <c r="EK31" t="e">
        <f>AND(#REF!,"AAAAAH9Nr4w=")</f>
        <v>#REF!</v>
      </c>
      <c r="EL31" t="e">
        <f>AND(#REF!,"AAAAAH9Nr40=")</f>
        <v>#REF!</v>
      </c>
      <c r="EM31" t="e">
        <f>AND(#REF!,"AAAAAH9Nr44=")</f>
        <v>#REF!</v>
      </c>
      <c r="EN31" t="e">
        <f>AND(#REF!,"AAAAAH9Nr48=")</f>
        <v>#REF!</v>
      </c>
      <c r="EO31" t="e">
        <f>AND(#REF!,"AAAAAH9Nr5A=")</f>
        <v>#REF!</v>
      </c>
      <c r="EP31" t="e">
        <f>AND(#REF!,"AAAAAH9Nr5E=")</f>
        <v>#REF!</v>
      </c>
      <c r="EQ31" t="e">
        <f>AND(#REF!,"AAAAAH9Nr5I=")</f>
        <v>#REF!</v>
      </c>
      <c r="ER31" t="e">
        <f>AND(#REF!,"AAAAAH9Nr5M=")</f>
        <v>#REF!</v>
      </c>
      <c r="ES31" t="e">
        <f>AND(#REF!,"AAAAAH9Nr5Q=")</f>
        <v>#REF!</v>
      </c>
      <c r="ET31" t="e">
        <f>AND(#REF!,"AAAAAH9Nr5U=")</f>
        <v>#REF!</v>
      </c>
      <c r="EU31" t="e">
        <f>AND(#REF!,"AAAAAH9Nr5Y=")</f>
        <v>#REF!</v>
      </c>
      <c r="EV31" t="e">
        <f>AND(#REF!,"AAAAAH9Nr5c=")</f>
        <v>#REF!</v>
      </c>
      <c r="EW31" t="e">
        <f>AND(#REF!,"AAAAAH9Nr5g=")</f>
        <v>#REF!</v>
      </c>
      <c r="EX31" t="e">
        <f>AND(#REF!,"AAAAAH9Nr5k=")</f>
        <v>#REF!</v>
      </c>
      <c r="EY31" t="e">
        <f>AND(#REF!,"AAAAAH9Nr5o=")</f>
        <v>#REF!</v>
      </c>
      <c r="EZ31" t="e">
        <f>AND(#REF!,"AAAAAH9Nr5s=")</f>
        <v>#REF!</v>
      </c>
      <c r="FA31" t="e">
        <f>AND(#REF!,"AAAAAH9Nr5w=")</f>
        <v>#REF!</v>
      </c>
      <c r="FB31" t="e">
        <f>AND(#REF!,"AAAAAH9Nr50=")</f>
        <v>#REF!</v>
      </c>
      <c r="FC31" t="e">
        <f>AND(#REF!,"AAAAAH9Nr54=")</f>
        <v>#REF!</v>
      </c>
      <c r="FD31" t="e">
        <f>AND(#REF!,"AAAAAH9Nr58=")</f>
        <v>#REF!</v>
      </c>
      <c r="FE31" t="e">
        <f>AND(#REF!,"AAAAAH9Nr6A=")</f>
        <v>#REF!</v>
      </c>
      <c r="FF31" t="e">
        <f>AND(#REF!,"AAAAAH9Nr6E=")</f>
        <v>#REF!</v>
      </c>
      <c r="FG31" t="e">
        <f>AND(#REF!,"AAAAAH9Nr6I=")</f>
        <v>#REF!</v>
      </c>
      <c r="FH31" t="e">
        <f>AND(#REF!,"AAAAAH9Nr6M=")</f>
        <v>#REF!</v>
      </c>
      <c r="FI31" t="e">
        <f>AND(#REF!,"AAAAAH9Nr6Q=")</f>
        <v>#REF!</v>
      </c>
      <c r="FJ31" t="e">
        <f>AND(#REF!,"AAAAAH9Nr6U=")</f>
        <v>#REF!</v>
      </c>
      <c r="FK31" t="e">
        <f>AND(#REF!,"AAAAAH9Nr6Y=")</f>
        <v>#REF!</v>
      </c>
      <c r="FL31" t="e">
        <f>AND(#REF!,"AAAAAH9Nr6c=")</f>
        <v>#REF!</v>
      </c>
      <c r="FM31" t="e">
        <f>AND(#REF!,"AAAAAH9Nr6g=")</f>
        <v>#REF!</v>
      </c>
      <c r="FN31" t="e">
        <f>AND(#REF!,"AAAAAH9Nr6k=")</f>
        <v>#REF!</v>
      </c>
      <c r="FO31" t="e">
        <f>AND(#REF!,"AAAAAH9Nr6o=")</f>
        <v>#REF!</v>
      </c>
      <c r="FP31" t="e">
        <f>AND(#REF!,"AAAAAH9Nr6s=")</f>
        <v>#REF!</v>
      </c>
      <c r="FQ31" t="e">
        <f>AND(#REF!,"AAAAAH9Nr6w=")</f>
        <v>#REF!</v>
      </c>
      <c r="FR31" t="e">
        <f>AND(#REF!,"AAAAAH9Nr60=")</f>
        <v>#REF!</v>
      </c>
      <c r="FS31" t="e">
        <f>AND(#REF!,"AAAAAH9Nr64=")</f>
        <v>#REF!</v>
      </c>
      <c r="FT31" t="e">
        <f>AND(#REF!,"AAAAAH9Nr68=")</f>
        <v>#REF!</v>
      </c>
      <c r="FU31" t="e">
        <f>AND(#REF!,"AAAAAH9Nr7A=")</f>
        <v>#REF!</v>
      </c>
      <c r="FV31" t="e">
        <f>AND(#REF!,"AAAAAH9Nr7E=")</f>
        <v>#REF!</v>
      </c>
      <c r="FW31" t="e">
        <f>AND(#REF!,"AAAAAH9Nr7I=")</f>
        <v>#REF!</v>
      </c>
      <c r="FX31" t="e">
        <f>AND(#REF!,"AAAAAH9Nr7M=")</f>
        <v>#REF!</v>
      </c>
      <c r="FY31" t="e">
        <f>AND(#REF!,"AAAAAH9Nr7Q=")</f>
        <v>#REF!</v>
      </c>
      <c r="FZ31" t="e">
        <f>AND(#REF!,"AAAAAH9Nr7U=")</f>
        <v>#REF!</v>
      </c>
      <c r="GA31" t="e">
        <f>AND(#REF!,"AAAAAH9Nr7Y=")</f>
        <v>#REF!</v>
      </c>
      <c r="GB31" t="e">
        <f>AND(#REF!,"AAAAAH9Nr7c=")</f>
        <v>#REF!</v>
      </c>
      <c r="GC31" t="e">
        <f>AND(#REF!,"AAAAAH9Nr7g=")</f>
        <v>#REF!</v>
      </c>
      <c r="GD31" t="e">
        <f>AND(#REF!,"AAAAAH9Nr7k=")</f>
        <v>#REF!</v>
      </c>
      <c r="GE31" t="e">
        <f>AND(#REF!,"AAAAAH9Nr7o=")</f>
        <v>#REF!</v>
      </c>
      <c r="GF31" t="e">
        <f>AND(#REF!,"AAAAAH9Nr7s=")</f>
        <v>#REF!</v>
      </c>
      <c r="GG31" t="e">
        <f>AND(#REF!,"AAAAAH9Nr7w=")</f>
        <v>#REF!</v>
      </c>
      <c r="GH31" t="e">
        <f>AND(#REF!,"AAAAAH9Nr70=")</f>
        <v>#REF!</v>
      </c>
      <c r="GI31" t="e">
        <f>AND(#REF!,"AAAAAH9Nr74=")</f>
        <v>#REF!</v>
      </c>
      <c r="GJ31" t="e">
        <f>AND(#REF!,"AAAAAH9Nr78=")</f>
        <v>#REF!</v>
      </c>
      <c r="GK31" t="e">
        <f>AND(#REF!,"AAAAAH9Nr8A=")</f>
        <v>#REF!</v>
      </c>
      <c r="GL31" t="e">
        <f>AND(#REF!,"AAAAAH9Nr8E=")</f>
        <v>#REF!</v>
      </c>
      <c r="GM31" t="e">
        <f>AND(#REF!,"AAAAAH9Nr8I=")</f>
        <v>#REF!</v>
      </c>
      <c r="GN31" t="e">
        <f>AND(#REF!,"AAAAAH9Nr8M=")</f>
        <v>#REF!</v>
      </c>
      <c r="GO31" t="e">
        <f>AND(#REF!,"AAAAAH9Nr8Q=")</f>
        <v>#REF!</v>
      </c>
      <c r="GP31" t="e">
        <f>AND(#REF!,"AAAAAH9Nr8U=")</f>
        <v>#REF!</v>
      </c>
      <c r="GQ31" t="e">
        <f>AND(#REF!,"AAAAAH9Nr8Y=")</f>
        <v>#REF!</v>
      </c>
      <c r="GR31" t="e">
        <f>AND(#REF!,"AAAAAH9Nr8c=")</f>
        <v>#REF!</v>
      </c>
      <c r="GS31" t="e">
        <f>AND(#REF!,"AAAAAH9Nr8g=")</f>
        <v>#REF!</v>
      </c>
      <c r="GT31" t="e">
        <f>AND(#REF!,"AAAAAH9Nr8k=")</f>
        <v>#REF!</v>
      </c>
      <c r="GU31" t="e">
        <f>AND(#REF!,"AAAAAH9Nr8o=")</f>
        <v>#REF!</v>
      </c>
      <c r="GV31" t="e">
        <f>AND(#REF!,"AAAAAH9Nr8s=")</f>
        <v>#REF!</v>
      </c>
      <c r="GW31" t="e">
        <f>AND(#REF!,"AAAAAH9Nr8w=")</f>
        <v>#REF!</v>
      </c>
      <c r="GX31" t="e">
        <f>AND(#REF!,"AAAAAH9Nr80=")</f>
        <v>#REF!</v>
      </c>
      <c r="GY31" t="e">
        <f>AND(#REF!,"AAAAAH9Nr84=")</f>
        <v>#REF!</v>
      </c>
      <c r="GZ31" t="e">
        <f>IF(#REF!,"AAAAAH9Nr88=",0)</f>
        <v>#REF!</v>
      </c>
      <c r="HA31" t="e">
        <f>AND(#REF!,"AAAAAH9Nr9A=")</f>
        <v>#REF!</v>
      </c>
      <c r="HB31" t="e">
        <f>AND(#REF!,"AAAAAH9Nr9E=")</f>
        <v>#REF!</v>
      </c>
      <c r="HC31" t="e">
        <f>AND(#REF!,"AAAAAH9Nr9I=")</f>
        <v>#REF!</v>
      </c>
      <c r="HD31" t="e">
        <f>AND(#REF!,"AAAAAH9Nr9M=")</f>
        <v>#REF!</v>
      </c>
      <c r="HE31" t="e">
        <f>AND(#REF!,"AAAAAH9Nr9Q=")</f>
        <v>#REF!</v>
      </c>
      <c r="HF31" t="e">
        <f>AND(#REF!,"AAAAAH9Nr9U=")</f>
        <v>#REF!</v>
      </c>
      <c r="HG31" t="e">
        <f>AND(#REF!,"AAAAAH9Nr9Y=")</f>
        <v>#REF!</v>
      </c>
      <c r="HH31" t="e">
        <f>AND(#REF!,"AAAAAH9Nr9c=")</f>
        <v>#REF!</v>
      </c>
      <c r="HI31" t="e">
        <f>AND(#REF!,"AAAAAH9Nr9g=")</f>
        <v>#REF!</v>
      </c>
      <c r="HJ31" t="e">
        <f>AND(#REF!,"AAAAAH9Nr9k=")</f>
        <v>#REF!</v>
      </c>
      <c r="HK31" t="e">
        <f>AND(#REF!,"AAAAAH9Nr9o=")</f>
        <v>#REF!</v>
      </c>
      <c r="HL31" t="e">
        <f>AND(#REF!,"AAAAAH9Nr9s=")</f>
        <v>#REF!</v>
      </c>
      <c r="HM31" t="e">
        <f>AND(#REF!,"AAAAAH9Nr9w=")</f>
        <v>#REF!</v>
      </c>
      <c r="HN31" t="e">
        <f>AND(#REF!,"AAAAAH9Nr90=")</f>
        <v>#REF!</v>
      </c>
      <c r="HO31" t="e">
        <f>AND(#REF!,"AAAAAH9Nr94=")</f>
        <v>#REF!</v>
      </c>
      <c r="HP31" t="e">
        <f>AND(#REF!,"AAAAAH9Nr98=")</f>
        <v>#REF!</v>
      </c>
      <c r="HQ31" t="e">
        <f>AND(#REF!,"AAAAAH9Nr+A=")</f>
        <v>#REF!</v>
      </c>
      <c r="HR31" t="e">
        <f>AND(#REF!,"AAAAAH9Nr+E=")</f>
        <v>#REF!</v>
      </c>
      <c r="HS31" t="e">
        <f>AND(#REF!,"AAAAAH9Nr+I=")</f>
        <v>#REF!</v>
      </c>
      <c r="HT31" t="e">
        <f>AND(#REF!,"AAAAAH9Nr+M=")</f>
        <v>#REF!</v>
      </c>
      <c r="HU31" t="e">
        <f>AND(#REF!,"AAAAAH9Nr+Q=")</f>
        <v>#REF!</v>
      </c>
      <c r="HV31" t="e">
        <f>AND(#REF!,"AAAAAH9Nr+U=")</f>
        <v>#REF!</v>
      </c>
      <c r="HW31" t="e">
        <f>AND(#REF!,"AAAAAH9Nr+Y=")</f>
        <v>#REF!</v>
      </c>
      <c r="HX31" t="e">
        <f>AND(#REF!,"AAAAAH9Nr+c=")</f>
        <v>#REF!</v>
      </c>
      <c r="HY31" t="e">
        <f>AND(#REF!,"AAAAAH9Nr+g=")</f>
        <v>#REF!</v>
      </c>
      <c r="HZ31" t="e">
        <f>AND(#REF!,"AAAAAH9Nr+k=")</f>
        <v>#REF!</v>
      </c>
      <c r="IA31" t="e">
        <f>AND(#REF!,"AAAAAH9Nr+o=")</f>
        <v>#REF!</v>
      </c>
      <c r="IB31" t="e">
        <f>AND(#REF!,"AAAAAH9Nr+s=")</f>
        <v>#REF!</v>
      </c>
      <c r="IC31" t="e">
        <f>AND(#REF!,"AAAAAH9Nr+w=")</f>
        <v>#REF!</v>
      </c>
      <c r="ID31" t="e">
        <f>AND(#REF!,"AAAAAH9Nr+0=")</f>
        <v>#REF!</v>
      </c>
      <c r="IE31" t="e">
        <f>AND(#REF!,"AAAAAH9Nr+4=")</f>
        <v>#REF!</v>
      </c>
      <c r="IF31" t="e">
        <f>AND(#REF!,"AAAAAH9Nr+8=")</f>
        <v>#REF!</v>
      </c>
      <c r="IG31" t="e">
        <f>AND(#REF!,"AAAAAH9Nr/A=")</f>
        <v>#REF!</v>
      </c>
      <c r="IH31" t="e">
        <f>AND(#REF!,"AAAAAH9Nr/E=")</f>
        <v>#REF!</v>
      </c>
      <c r="II31" t="e">
        <f>AND(#REF!,"AAAAAH9Nr/I=")</f>
        <v>#REF!</v>
      </c>
      <c r="IJ31" t="e">
        <f>AND(#REF!,"AAAAAH9Nr/M=")</f>
        <v>#REF!</v>
      </c>
      <c r="IK31" t="e">
        <f>AND(#REF!,"AAAAAH9Nr/Q=")</f>
        <v>#REF!</v>
      </c>
      <c r="IL31" t="e">
        <f>AND(#REF!,"AAAAAH9Nr/U=")</f>
        <v>#REF!</v>
      </c>
      <c r="IM31" t="e">
        <f>AND(#REF!,"AAAAAH9Nr/Y=")</f>
        <v>#REF!</v>
      </c>
      <c r="IN31" t="e">
        <f>AND(#REF!,"AAAAAH9Nr/c=")</f>
        <v>#REF!</v>
      </c>
      <c r="IO31" t="e">
        <f>AND(#REF!,"AAAAAH9Nr/g=")</f>
        <v>#REF!</v>
      </c>
      <c r="IP31" t="e">
        <f>AND(#REF!,"AAAAAH9Nr/k=")</f>
        <v>#REF!</v>
      </c>
      <c r="IQ31" t="e">
        <f>AND(#REF!,"AAAAAH9Nr/o=")</f>
        <v>#REF!</v>
      </c>
      <c r="IR31" t="e">
        <f>AND(#REF!,"AAAAAH9Nr/s=")</f>
        <v>#REF!</v>
      </c>
      <c r="IS31" t="e">
        <f>AND(#REF!,"AAAAAH9Nr/w=")</f>
        <v>#REF!</v>
      </c>
      <c r="IT31" t="e">
        <f>AND(#REF!,"AAAAAH9Nr/0=")</f>
        <v>#REF!</v>
      </c>
      <c r="IU31" t="e">
        <f>AND(#REF!,"AAAAAH9Nr/4=")</f>
        <v>#REF!</v>
      </c>
      <c r="IV31" t="e">
        <f>AND(#REF!,"AAAAAH9Nr/8=")</f>
        <v>#REF!</v>
      </c>
    </row>
    <row r="32" spans="1:256" ht="15">
      <c r="A32" t="e">
        <f>AND(#REF!,"AAAAAGWr6wA=")</f>
        <v>#REF!</v>
      </c>
      <c r="B32" t="e">
        <f>AND(#REF!,"AAAAAGWr6wE=")</f>
        <v>#REF!</v>
      </c>
      <c r="C32" t="e">
        <f>AND(#REF!,"AAAAAGWr6wI=")</f>
        <v>#REF!</v>
      </c>
      <c r="D32" t="e">
        <f>AND(#REF!,"AAAAAGWr6wM=")</f>
        <v>#REF!</v>
      </c>
      <c r="E32" t="e">
        <f>AND(#REF!,"AAAAAGWr6wQ=")</f>
        <v>#REF!</v>
      </c>
      <c r="F32" t="e">
        <f>AND(#REF!,"AAAAAGWr6wU=")</f>
        <v>#REF!</v>
      </c>
      <c r="G32" t="e">
        <f>AND(#REF!,"AAAAAGWr6wY=")</f>
        <v>#REF!</v>
      </c>
      <c r="H32" t="e">
        <f>AND(#REF!,"AAAAAGWr6wc=")</f>
        <v>#REF!</v>
      </c>
      <c r="I32" t="e">
        <f>AND(#REF!,"AAAAAGWr6wg=")</f>
        <v>#REF!</v>
      </c>
      <c r="J32" t="e">
        <f>AND(#REF!,"AAAAAGWr6wk=")</f>
        <v>#REF!</v>
      </c>
      <c r="K32" t="e">
        <f>AND(#REF!,"AAAAAGWr6wo=")</f>
        <v>#REF!</v>
      </c>
      <c r="L32" t="e">
        <f>AND(#REF!,"AAAAAGWr6ws=")</f>
        <v>#REF!</v>
      </c>
      <c r="M32" t="e">
        <f>AND(#REF!,"AAAAAGWr6ww=")</f>
        <v>#REF!</v>
      </c>
      <c r="N32" t="e">
        <f>AND(#REF!,"AAAAAGWr6w0=")</f>
        <v>#REF!</v>
      </c>
      <c r="O32" t="e">
        <f>AND(#REF!,"AAAAAGWr6w4=")</f>
        <v>#REF!</v>
      </c>
      <c r="P32" t="e">
        <f>AND(#REF!,"AAAAAGWr6w8=")</f>
        <v>#REF!</v>
      </c>
      <c r="Q32" t="e">
        <f>AND(#REF!,"AAAAAGWr6xA=")</f>
        <v>#REF!</v>
      </c>
      <c r="R32" t="e">
        <f>AND(#REF!,"AAAAAGWr6xE=")</f>
        <v>#REF!</v>
      </c>
      <c r="S32" t="e">
        <f>AND(#REF!,"AAAAAGWr6xI=")</f>
        <v>#REF!</v>
      </c>
      <c r="T32" t="e">
        <f>AND(#REF!,"AAAAAGWr6xM=")</f>
        <v>#REF!</v>
      </c>
      <c r="U32" t="e">
        <f>AND(#REF!,"AAAAAGWr6xQ=")</f>
        <v>#REF!</v>
      </c>
      <c r="V32" t="e">
        <f>AND(#REF!,"AAAAAGWr6xU=")</f>
        <v>#REF!</v>
      </c>
      <c r="W32" t="e">
        <f>AND(#REF!,"AAAAAGWr6xY=")</f>
        <v>#REF!</v>
      </c>
      <c r="X32" t="e">
        <f>AND(#REF!,"AAAAAGWr6xc=")</f>
        <v>#REF!</v>
      </c>
      <c r="Y32" t="e">
        <f>AND(#REF!,"AAAAAGWr6xg=")</f>
        <v>#REF!</v>
      </c>
      <c r="Z32" t="e">
        <f>AND(#REF!,"AAAAAGWr6xk=")</f>
        <v>#REF!</v>
      </c>
      <c r="AA32" t="e">
        <f>AND(#REF!,"AAAAAGWr6xo=")</f>
        <v>#REF!</v>
      </c>
      <c r="AB32" t="e">
        <f>AND(#REF!,"AAAAAGWr6xs=")</f>
        <v>#REF!</v>
      </c>
      <c r="AC32" t="e">
        <f>AND(#REF!,"AAAAAGWr6xw=")</f>
        <v>#REF!</v>
      </c>
      <c r="AD32" t="e">
        <f>AND(#REF!,"AAAAAGWr6x0=")</f>
        <v>#REF!</v>
      </c>
      <c r="AE32" t="e">
        <f>AND(#REF!,"AAAAAGWr6x4=")</f>
        <v>#REF!</v>
      </c>
      <c r="AF32" t="e">
        <f>AND(#REF!,"AAAAAGWr6x8=")</f>
        <v>#REF!</v>
      </c>
      <c r="AG32" t="e">
        <f>AND(#REF!,"AAAAAGWr6yA=")</f>
        <v>#REF!</v>
      </c>
      <c r="AH32" t="e">
        <f>AND(#REF!,"AAAAAGWr6yE=")</f>
        <v>#REF!</v>
      </c>
      <c r="AI32" t="e">
        <f>AND(#REF!,"AAAAAGWr6yI=")</f>
        <v>#REF!</v>
      </c>
      <c r="AJ32" t="e">
        <f>AND(#REF!,"AAAAAGWr6yM=")</f>
        <v>#REF!</v>
      </c>
      <c r="AK32" t="e">
        <f>AND(#REF!,"AAAAAGWr6yQ=")</f>
        <v>#REF!</v>
      </c>
      <c r="AL32" t="e">
        <f>AND(#REF!,"AAAAAGWr6yU=")</f>
        <v>#REF!</v>
      </c>
      <c r="AM32" t="e">
        <f>AND(#REF!,"AAAAAGWr6yY=")</f>
        <v>#REF!</v>
      </c>
      <c r="AN32" t="e">
        <f>AND(#REF!,"AAAAAGWr6yc=")</f>
        <v>#REF!</v>
      </c>
      <c r="AO32" t="e">
        <f>AND(#REF!,"AAAAAGWr6yg=")</f>
        <v>#REF!</v>
      </c>
      <c r="AP32" t="e">
        <f>AND(#REF!,"AAAAAGWr6yk=")</f>
        <v>#REF!</v>
      </c>
      <c r="AQ32" t="e">
        <f>AND(#REF!,"AAAAAGWr6yo=")</f>
        <v>#REF!</v>
      </c>
      <c r="AR32" t="e">
        <f>AND(#REF!,"AAAAAGWr6ys=")</f>
        <v>#REF!</v>
      </c>
      <c r="AS32" t="e">
        <f>AND(#REF!,"AAAAAGWr6yw=")</f>
        <v>#REF!</v>
      </c>
      <c r="AT32" t="e">
        <f>AND(#REF!,"AAAAAGWr6y0=")</f>
        <v>#REF!</v>
      </c>
      <c r="AU32" t="e">
        <f>AND(#REF!,"AAAAAGWr6y4=")</f>
        <v>#REF!</v>
      </c>
      <c r="AV32" t="e">
        <f>AND(#REF!,"AAAAAGWr6y8=")</f>
        <v>#REF!</v>
      </c>
      <c r="AW32" t="e">
        <f>AND(#REF!,"AAAAAGWr6zA=")</f>
        <v>#REF!</v>
      </c>
      <c r="AX32" t="e">
        <f>AND(#REF!,"AAAAAGWr6zE=")</f>
        <v>#REF!</v>
      </c>
      <c r="AY32" t="e">
        <f>AND(#REF!,"AAAAAGWr6zI=")</f>
        <v>#REF!</v>
      </c>
      <c r="AZ32" t="e">
        <f>AND(#REF!,"AAAAAGWr6zM=")</f>
        <v>#REF!</v>
      </c>
      <c r="BA32" t="e">
        <f>AND(#REF!,"AAAAAGWr6zQ=")</f>
        <v>#REF!</v>
      </c>
      <c r="BB32" t="e">
        <f>AND(#REF!,"AAAAAGWr6zU=")</f>
        <v>#REF!</v>
      </c>
      <c r="BC32" t="e">
        <f>AND(#REF!,"AAAAAGWr6zY=")</f>
        <v>#REF!</v>
      </c>
      <c r="BD32" t="e">
        <f>AND(#REF!,"AAAAAGWr6zc=")</f>
        <v>#REF!</v>
      </c>
      <c r="BE32" t="e">
        <f>AND(#REF!,"AAAAAGWr6zg=")</f>
        <v>#REF!</v>
      </c>
      <c r="BF32" t="e">
        <f>AND(#REF!,"AAAAAGWr6zk=")</f>
        <v>#REF!</v>
      </c>
      <c r="BG32" t="e">
        <f>AND(#REF!,"AAAAAGWr6zo=")</f>
        <v>#REF!</v>
      </c>
      <c r="BH32" t="e">
        <f>AND(#REF!,"AAAAAGWr6zs=")</f>
        <v>#REF!</v>
      </c>
      <c r="BI32" t="e">
        <f>AND(#REF!,"AAAAAGWr6zw=")</f>
        <v>#REF!</v>
      </c>
      <c r="BJ32" t="e">
        <f>AND(#REF!,"AAAAAGWr6z0=")</f>
        <v>#REF!</v>
      </c>
      <c r="BK32" t="e">
        <f>AND(#REF!,"AAAAAGWr6z4=")</f>
        <v>#REF!</v>
      </c>
      <c r="BL32" t="e">
        <f>AND(#REF!,"AAAAAGWr6z8=")</f>
        <v>#REF!</v>
      </c>
      <c r="BM32" t="e">
        <f>AND(#REF!,"AAAAAGWr60A=")</f>
        <v>#REF!</v>
      </c>
      <c r="BN32" t="e">
        <f>AND(#REF!,"AAAAAGWr60E=")</f>
        <v>#REF!</v>
      </c>
      <c r="BO32" t="e">
        <f>AND(#REF!,"AAAAAGWr60I=")</f>
        <v>#REF!</v>
      </c>
      <c r="BP32" t="e">
        <f>AND(#REF!,"AAAAAGWr60M=")</f>
        <v>#REF!</v>
      </c>
      <c r="BQ32" t="e">
        <f>AND(#REF!,"AAAAAGWr60Q=")</f>
        <v>#REF!</v>
      </c>
      <c r="BR32" t="e">
        <f>AND(#REF!,"AAAAAGWr60U=")</f>
        <v>#REF!</v>
      </c>
      <c r="BS32" t="e">
        <f>AND(#REF!,"AAAAAGWr60Y=")</f>
        <v>#REF!</v>
      </c>
      <c r="BT32" t="e">
        <f>AND(#REF!,"AAAAAGWr60c=")</f>
        <v>#REF!</v>
      </c>
      <c r="BU32" t="e">
        <f>AND(#REF!,"AAAAAGWr60g=")</f>
        <v>#REF!</v>
      </c>
      <c r="BV32" t="e">
        <f>AND(#REF!,"AAAAAGWr60k=")</f>
        <v>#REF!</v>
      </c>
      <c r="BW32" t="e">
        <f>AND(#REF!,"AAAAAGWr60o=")</f>
        <v>#REF!</v>
      </c>
      <c r="BX32" t="e">
        <f>AND(#REF!,"AAAAAGWr60s=")</f>
        <v>#REF!</v>
      </c>
      <c r="BY32" t="e">
        <f>AND(#REF!,"AAAAAGWr60w=")</f>
        <v>#REF!</v>
      </c>
      <c r="BZ32" t="e">
        <f>AND(#REF!,"AAAAAGWr600=")</f>
        <v>#REF!</v>
      </c>
      <c r="CA32" t="e">
        <f>AND(#REF!,"AAAAAGWr604=")</f>
        <v>#REF!</v>
      </c>
      <c r="CB32" t="e">
        <f>AND(#REF!,"AAAAAGWr608=")</f>
        <v>#REF!</v>
      </c>
      <c r="CC32" t="e">
        <f>AND(#REF!,"AAAAAGWr61A=")</f>
        <v>#REF!</v>
      </c>
      <c r="CD32" t="e">
        <f>AND(#REF!,"AAAAAGWr61E=")</f>
        <v>#REF!</v>
      </c>
      <c r="CE32" t="e">
        <f>AND(#REF!,"AAAAAGWr61I=")</f>
        <v>#REF!</v>
      </c>
      <c r="CF32" t="e">
        <f>AND(#REF!,"AAAAAGWr61M=")</f>
        <v>#REF!</v>
      </c>
      <c r="CG32" t="e">
        <f>AND(#REF!,"AAAAAGWr61Q=")</f>
        <v>#REF!</v>
      </c>
      <c r="CH32" t="e">
        <f>AND(#REF!,"AAAAAGWr61U=")</f>
        <v>#REF!</v>
      </c>
      <c r="CI32" t="e">
        <f>AND(#REF!,"AAAAAGWr61Y=")</f>
        <v>#REF!</v>
      </c>
      <c r="CJ32" t="e">
        <f>IF(#REF!,"AAAAAGWr61c=",0)</f>
        <v>#REF!</v>
      </c>
      <c r="CK32" t="e">
        <f>AND(#REF!,"AAAAAGWr61g=")</f>
        <v>#REF!</v>
      </c>
      <c r="CL32" t="e">
        <f>AND(#REF!,"AAAAAGWr61k=")</f>
        <v>#REF!</v>
      </c>
      <c r="CM32" t="e">
        <f>AND(#REF!,"AAAAAGWr61o=")</f>
        <v>#REF!</v>
      </c>
      <c r="CN32" t="e">
        <f>AND(#REF!,"AAAAAGWr61s=")</f>
        <v>#REF!</v>
      </c>
      <c r="CO32" t="e">
        <f>AND(#REF!,"AAAAAGWr61w=")</f>
        <v>#REF!</v>
      </c>
      <c r="CP32" t="e">
        <f>AND(#REF!,"AAAAAGWr610=")</f>
        <v>#REF!</v>
      </c>
      <c r="CQ32" t="e">
        <f>AND(#REF!,"AAAAAGWr614=")</f>
        <v>#REF!</v>
      </c>
      <c r="CR32" t="e">
        <f>AND(#REF!,"AAAAAGWr618=")</f>
        <v>#REF!</v>
      </c>
      <c r="CS32" t="e">
        <f>AND(#REF!,"AAAAAGWr62A=")</f>
        <v>#REF!</v>
      </c>
      <c r="CT32" t="e">
        <f>AND(#REF!,"AAAAAGWr62E=")</f>
        <v>#REF!</v>
      </c>
      <c r="CU32" t="e">
        <f>AND(#REF!,"AAAAAGWr62I=")</f>
        <v>#REF!</v>
      </c>
      <c r="CV32" t="e">
        <f>AND(#REF!,"AAAAAGWr62M=")</f>
        <v>#REF!</v>
      </c>
      <c r="CW32" t="e">
        <f>AND(#REF!,"AAAAAGWr62Q=")</f>
        <v>#REF!</v>
      </c>
      <c r="CX32" t="e">
        <f>AND(#REF!,"AAAAAGWr62U=")</f>
        <v>#REF!</v>
      </c>
      <c r="CY32" t="e">
        <f>AND(#REF!,"AAAAAGWr62Y=")</f>
        <v>#REF!</v>
      </c>
      <c r="CZ32" t="e">
        <f>AND(#REF!,"AAAAAGWr62c=")</f>
        <v>#REF!</v>
      </c>
      <c r="DA32" t="e">
        <f>AND(#REF!,"AAAAAGWr62g=")</f>
        <v>#REF!</v>
      </c>
      <c r="DB32" t="e">
        <f>AND(#REF!,"AAAAAGWr62k=")</f>
        <v>#REF!</v>
      </c>
      <c r="DC32" t="e">
        <f>AND(#REF!,"AAAAAGWr62o=")</f>
        <v>#REF!</v>
      </c>
      <c r="DD32" t="e">
        <f>AND(#REF!,"AAAAAGWr62s=")</f>
        <v>#REF!</v>
      </c>
      <c r="DE32" t="e">
        <f>AND(#REF!,"AAAAAGWr62w=")</f>
        <v>#REF!</v>
      </c>
      <c r="DF32" t="e">
        <f>AND(#REF!,"AAAAAGWr620=")</f>
        <v>#REF!</v>
      </c>
      <c r="DG32" t="e">
        <f>AND(#REF!,"AAAAAGWr624=")</f>
        <v>#REF!</v>
      </c>
      <c r="DH32" t="e">
        <f>AND(#REF!,"AAAAAGWr628=")</f>
        <v>#REF!</v>
      </c>
      <c r="DI32" t="e">
        <f>AND(#REF!,"AAAAAGWr63A=")</f>
        <v>#REF!</v>
      </c>
      <c r="DJ32" t="e">
        <f>AND(#REF!,"AAAAAGWr63E=")</f>
        <v>#REF!</v>
      </c>
      <c r="DK32" t="e">
        <f>AND(#REF!,"AAAAAGWr63I=")</f>
        <v>#REF!</v>
      </c>
      <c r="DL32" t="e">
        <f>AND(#REF!,"AAAAAGWr63M=")</f>
        <v>#REF!</v>
      </c>
      <c r="DM32" t="e">
        <f>AND(#REF!,"AAAAAGWr63Q=")</f>
        <v>#REF!</v>
      </c>
      <c r="DN32" t="e">
        <f>AND(#REF!,"AAAAAGWr63U=")</f>
        <v>#REF!</v>
      </c>
      <c r="DO32" t="e">
        <f>AND(#REF!,"AAAAAGWr63Y=")</f>
        <v>#REF!</v>
      </c>
      <c r="DP32" t="e">
        <f>AND(#REF!,"AAAAAGWr63c=")</f>
        <v>#REF!</v>
      </c>
      <c r="DQ32" t="e">
        <f>AND(#REF!,"AAAAAGWr63g=")</f>
        <v>#REF!</v>
      </c>
      <c r="DR32" t="e">
        <f>AND(#REF!,"AAAAAGWr63k=")</f>
        <v>#REF!</v>
      </c>
      <c r="DS32" t="e">
        <f>AND(#REF!,"AAAAAGWr63o=")</f>
        <v>#REF!</v>
      </c>
      <c r="DT32" t="e">
        <f>AND(#REF!,"AAAAAGWr63s=")</f>
        <v>#REF!</v>
      </c>
      <c r="DU32" t="e">
        <f>AND(#REF!,"AAAAAGWr63w=")</f>
        <v>#REF!</v>
      </c>
      <c r="DV32" t="e">
        <f>AND(#REF!,"AAAAAGWr630=")</f>
        <v>#REF!</v>
      </c>
      <c r="DW32" t="e">
        <f>AND(#REF!,"AAAAAGWr634=")</f>
        <v>#REF!</v>
      </c>
      <c r="DX32" t="e">
        <f>AND(#REF!,"AAAAAGWr638=")</f>
        <v>#REF!</v>
      </c>
      <c r="DY32" t="e">
        <f>AND(#REF!,"AAAAAGWr64A=")</f>
        <v>#REF!</v>
      </c>
      <c r="DZ32" t="e">
        <f>AND(#REF!,"AAAAAGWr64E=")</f>
        <v>#REF!</v>
      </c>
      <c r="EA32" t="e">
        <f>AND(#REF!,"AAAAAGWr64I=")</f>
        <v>#REF!</v>
      </c>
      <c r="EB32" t="e">
        <f>AND(#REF!,"AAAAAGWr64M=")</f>
        <v>#REF!</v>
      </c>
      <c r="EC32" t="e">
        <f>AND(#REF!,"AAAAAGWr64Q=")</f>
        <v>#REF!</v>
      </c>
      <c r="ED32" t="e">
        <f>AND(#REF!,"AAAAAGWr64U=")</f>
        <v>#REF!</v>
      </c>
      <c r="EE32" t="e">
        <f>AND(#REF!,"AAAAAGWr64Y=")</f>
        <v>#REF!</v>
      </c>
      <c r="EF32" t="e">
        <f>AND(#REF!,"AAAAAGWr64c=")</f>
        <v>#REF!</v>
      </c>
      <c r="EG32" t="e">
        <f>AND(#REF!,"AAAAAGWr64g=")</f>
        <v>#REF!</v>
      </c>
      <c r="EH32" t="e">
        <f>AND(#REF!,"AAAAAGWr64k=")</f>
        <v>#REF!</v>
      </c>
      <c r="EI32" t="e">
        <f>AND(#REF!,"AAAAAGWr64o=")</f>
        <v>#REF!</v>
      </c>
      <c r="EJ32" t="e">
        <f>AND(#REF!,"AAAAAGWr64s=")</f>
        <v>#REF!</v>
      </c>
      <c r="EK32" t="e">
        <f>AND(#REF!,"AAAAAGWr64w=")</f>
        <v>#REF!</v>
      </c>
      <c r="EL32" t="e">
        <f>AND(#REF!,"AAAAAGWr640=")</f>
        <v>#REF!</v>
      </c>
      <c r="EM32" t="e">
        <f>AND(#REF!,"AAAAAGWr644=")</f>
        <v>#REF!</v>
      </c>
      <c r="EN32" t="e">
        <f>AND(#REF!,"AAAAAGWr648=")</f>
        <v>#REF!</v>
      </c>
      <c r="EO32" t="e">
        <f>AND(#REF!,"AAAAAGWr65A=")</f>
        <v>#REF!</v>
      </c>
      <c r="EP32" t="e">
        <f>AND(#REF!,"AAAAAGWr65E=")</f>
        <v>#REF!</v>
      </c>
      <c r="EQ32" t="e">
        <f>AND(#REF!,"AAAAAGWr65I=")</f>
        <v>#REF!</v>
      </c>
      <c r="ER32" t="e">
        <f>AND(#REF!,"AAAAAGWr65M=")</f>
        <v>#REF!</v>
      </c>
      <c r="ES32" t="e">
        <f>AND(#REF!,"AAAAAGWr65Q=")</f>
        <v>#REF!</v>
      </c>
      <c r="ET32" t="e">
        <f>AND(#REF!,"AAAAAGWr65U=")</f>
        <v>#REF!</v>
      </c>
      <c r="EU32" t="e">
        <f>AND(#REF!,"AAAAAGWr65Y=")</f>
        <v>#REF!</v>
      </c>
      <c r="EV32" t="e">
        <f>AND(#REF!,"AAAAAGWr65c=")</f>
        <v>#REF!</v>
      </c>
      <c r="EW32" t="e">
        <f>AND(#REF!,"AAAAAGWr65g=")</f>
        <v>#REF!</v>
      </c>
      <c r="EX32" t="e">
        <f>AND(#REF!,"AAAAAGWr65k=")</f>
        <v>#REF!</v>
      </c>
      <c r="EY32" t="e">
        <f>AND(#REF!,"AAAAAGWr65o=")</f>
        <v>#REF!</v>
      </c>
      <c r="EZ32" t="e">
        <f>AND(#REF!,"AAAAAGWr65s=")</f>
        <v>#REF!</v>
      </c>
      <c r="FA32" t="e">
        <f>AND(#REF!,"AAAAAGWr65w=")</f>
        <v>#REF!</v>
      </c>
      <c r="FB32" t="e">
        <f>AND(#REF!,"AAAAAGWr650=")</f>
        <v>#REF!</v>
      </c>
      <c r="FC32" t="e">
        <f>AND(#REF!,"AAAAAGWr654=")</f>
        <v>#REF!</v>
      </c>
      <c r="FD32" t="e">
        <f>AND(#REF!,"AAAAAGWr658=")</f>
        <v>#REF!</v>
      </c>
      <c r="FE32" t="e">
        <f>AND(#REF!,"AAAAAGWr66A=")</f>
        <v>#REF!</v>
      </c>
      <c r="FF32" t="e">
        <f>AND(#REF!,"AAAAAGWr66E=")</f>
        <v>#REF!</v>
      </c>
      <c r="FG32" t="e">
        <f>AND(#REF!,"AAAAAGWr66I=")</f>
        <v>#REF!</v>
      </c>
      <c r="FH32" t="e">
        <f>AND(#REF!,"AAAAAGWr66M=")</f>
        <v>#REF!</v>
      </c>
      <c r="FI32" t="e">
        <f>AND(#REF!,"AAAAAGWr66Q=")</f>
        <v>#REF!</v>
      </c>
      <c r="FJ32" t="e">
        <f>AND(#REF!,"AAAAAGWr66U=")</f>
        <v>#REF!</v>
      </c>
      <c r="FK32" t="e">
        <f>AND(#REF!,"AAAAAGWr66Y=")</f>
        <v>#REF!</v>
      </c>
      <c r="FL32" t="e">
        <f>AND(#REF!,"AAAAAGWr66c=")</f>
        <v>#REF!</v>
      </c>
      <c r="FM32" t="e">
        <f>AND(#REF!,"AAAAAGWr66g=")</f>
        <v>#REF!</v>
      </c>
      <c r="FN32" t="e">
        <f>AND(#REF!,"AAAAAGWr66k=")</f>
        <v>#REF!</v>
      </c>
      <c r="FO32" t="e">
        <f>AND(#REF!,"AAAAAGWr66o=")</f>
        <v>#REF!</v>
      </c>
      <c r="FP32" t="e">
        <f>AND(#REF!,"AAAAAGWr66s=")</f>
        <v>#REF!</v>
      </c>
      <c r="FQ32" t="e">
        <f>AND(#REF!,"AAAAAGWr66w=")</f>
        <v>#REF!</v>
      </c>
      <c r="FR32" t="e">
        <f>AND(#REF!,"AAAAAGWr660=")</f>
        <v>#REF!</v>
      </c>
      <c r="FS32" t="e">
        <f>AND(#REF!,"AAAAAGWr664=")</f>
        <v>#REF!</v>
      </c>
      <c r="FT32" t="e">
        <f>AND(#REF!,"AAAAAGWr668=")</f>
        <v>#REF!</v>
      </c>
      <c r="FU32" t="e">
        <f>AND(#REF!,"AAAAAGWr67A=")</f>
        <v>#REF!</v>
      </c>
      <c r="FV32" t="e">
        <f>AND(#REF!,"AAAAAGWr67E=")</f>
        <v>#REF!</v>
      </c>
      <c r="FW32" t="e">
        <f>AND(#REF!,"AAAAAGWr67I=")</f>
        <v>#REF!</v>
      </c>
      <c r="FX32" t="e">
        <f>AND(#REF!,"AAAAAGWr67M=")</f>
        <v>#REF!</v>
      </c>
      <c r="FY32" t="e">
        <f>AND(#REF!,"AAAAAGWr67Q=")</f>
        <v>#REF!</v>
      </c>
      <c r="FZ32" t="e">
        <f>AND(#REF!,"AAAAAGWr67U=")</f>
        <v>#REF!</v>
      </c>
      <c r="GA32" t="e">
        <f>AND(#REF!,"AAAAAGWr67Y=")</f>
        <v>#REF!</v>
      </c>
      <c r="GB32" t="e">
        <f>AND(#REF!,"AAAAAGWr67c=")</f>
        <v>#REF!</v>
      </c>
      <c r="GC32" t="e">
        <f>AND(#REF!,"AAAAAGWr67g=")</f>
        <v>#REF!</v>
      </c>
      <c r="GD32" t="e">
        <f>AND(#REF!,"AAAAAGWr67k=")</f>
        <v>#REF!</v>
      </c>
      <c r="GE32" t="e">
        <f>AND(#REF!,"AAAAAGWr67o=")</f>
        <v>#REF!</v>
      </c>
      <c r="GF32" t="e">
        <f>AND(#REF!,"AAAAAGWr67s=")</f>
        <v>#REF!</v>
      </c>
      <c r="GG32" t="e">
        <f>AND(#REF!,"AAAAAGWr67w=")</f>
        <v>#REF!</v>
      </c>
      <c r="GH32" t="e">
        <f>AND(#REF!,"AAAAAGWr670=")</f>
        <v>#REF!</v>
      </c>
      <c r="GI32" t="e">
        <f>AND(#REF!,"AAAAAGWr674=")</f>
        <v>#REF!</v>
      </c>
      <c r="GJ32" t="e">
        <f>AND(#REF!,"AAAAAGWr678=")</f>
        <v>#REF!</v>
      </c>
      <c r="GK32" t="e">
        <f>AND(#REF!,"AAAAAGWr68A=")</f>
        <v>#REF!</v>
      </c>
      <c r="GL32" t="e">
        <f>AND(#REF!,"AAAAAGWr68E=")</f>
        <v>#REF!</v>
      </c>
      <c r="GM32" t="e">
        <f>AND(#REF!,"AAAAAGWr68I=")</f>
        <v>#REF!</v>
      </c>
      <c r="GN32" t="e">
        <f>AND(#REF!,"AAAAAGWr68M=")</f>
        <v>#REF!</v>
      </c>
      <c r="GO32" t="e">
        <f>AND(#REF!,"AAAAAGWr68Q=")</f>
        <v>#REF!</v>
      </c>
      <c r="GP32" t="e">
        <f>AND(#REF!,"AAAAAGWr68U=")</f>
        <v>#REF!</v>
      </c>
      <c r="GQ32" t="e">
        <f>AND(#REF!,"AAAAAGWr68Y=")</f>
        <v>#REF!</v>
      </c>
      <c r="GR32" t="e">
        <f>AND(#REF!,"AAAAAGWr68c=")</f>
        <v>#REF!</v>
      </c>
      <c r="GS32" t="e">
        <f>AND(#REF!,"AAAAAGWr68g=")</f>
        <v>#REF!</v>
      </c>
      <c r="GT32" t="e">
        <f>AND(#REF!,"AAAAAGWr68k=")</f>
        <v>#REF!</v>
      </c>
      <c r="GU32" t="e">
        <f>AND(#REF!,"AAAAAGWr68o=")</f>
        <v>#REF!</v>
      </c>
      <c r="GV32" t="e">
        <f>AND(#REF!,"AAAAAGWr68s=")</f>
        <v>#REF!</v>
      </c>
      <c r="GW32" t="e">
        <f>AND(#REF!,"AAAAAGWr68w=")</f>
        <v>#REF!</v>
      </c>
      <c r="GX32" t="e">
        <f>AND(#REF!,"AAAAAGWr680=")</f>
        <v>#REF!</v>
      </c>
      <c r="GY32" t="e">
        <f>AND(#REF!,"AAAAAGWr684=")</f>
        <v>#REF!</v>
      </c>
      <c r="GZ32" t="e">
        <f>AND(#REF!,"AAAAAGWr688=")</f>
        <v>#REF!</v>
      </c>
      <c r="HA32" t="e">
        <f>AND(#REF!,"AAAAAGWr69A=")</f>
        <v>#REF!</v>
      </c>
      <c r="HB32" t="e">
        <f>AND(#REF!,"AAAAAGWr69E=")</f>
        <v>#REF!</v>
      </c>
      <c r="HC32" t="e">
        <f>AND(#REF!,"AAAAAGWr69I=")</f>
        <v>#REF!</v>
      </c>
      <c r="HD32" t="e">
        <f>AND(#REF!,"AAAAAGWr69M=")</f>
        <v>#REF!</v>
      </c>
      <c r="HE32" t="e">
        <f>AND(#REF!,"AAAAAGWr69Q=")</f>
        <v>#REF!</v>
      </c>
      <c r="HF32" t="e">
        <f>AND(#REF!,"AAAAAGWr69U=")</f>
        <v>#REF!</v>
      </c>
      <c r="HG32" t="e">
        <f>AND(#REF!,"AAAAAGWr69Y=")</f>
        <v>#REF!</v>
      </c>
      <c r="HH32" t="e">
        <f>AND(#REF!,"AAAAAGWr69c=")</f>
        <v>#REF!</v>
      </c>
      <c r="HI32" t="e">
        <f>AND(#REF!,"AAAAAGWr69g=")</f>
        <v>#REF!</v>
      </c>
      <c r="HJ32" t="e">
        <f>AND(#REF!,"AAAAAGWr69k=")</f>
        <v>#REF!</v>
      </c>
      <c r="HK32" t="e">
        <f>AND(#REF!,"AAAAAGWr69o=")</f>
        <v>#REF!</v>
      </c>
      <c r="HL32" t="e">
        <f>AND(#REF!,"AAAAAGWr69s=")</f>
        <v>#REF!</v>
      </c>
      <c r="HM32" t="e">
        <f>AND(#REF!,"AAAAAGWr69w=")</f>
        <v>#REF!</v>
      </c>
      <c r="HN32" t="e">
        <f>AND(#REF!,"AAAAAGWr690=")</f>
        <v>#REF!</v>
      </c>
      <c r="HO32" t="e">
        <f>AND(#REF!,"AAAAAGWr694=")</f>
        <v>#REF!</v>
      </c>
      <c r="HP32" t="e">
        <f>IF(#REF!,"AAAAAGWr698=",0)</f>
        <v>#REF!</v>
      </c>
      <c r="HQ32" t="e">
        <f>AND(#REF!,"AAAAAGWr6+A=")</f>
        <v>#REF!</v>
      </c>
      <c r="HR32" t="e">
        <f>AND(#REF!,"AAAAAGWr6+E=")</f>
        <v>#REF!</v>
      </c>
      <c r="HS32" t="e">
        <f>AND(#REF!,"AAAAAGWr6+I=")</f>
        <v>#REF!</v>
      </c>
      <c r="HT32" t="e">
        <f>AND(#REF!,"AAAAAGWr6+M=")</f>
        <v>#REF!</v>
      </c>
      <c r="HU32" t="e">
        <f>AND(#REF!,"AAAAAGWr6+Q=")</f>
        <v>#REF!</v>
      </c>
      <c r="HV32" t="e">
        <f>AND(#REF!,"AAAAAGWr6+U=")</f>
        <v>#REF!</v>
      </c>
      <c r="HW32" t="e">
        <f>AND(#REF!,"AAAAAGWr6+Y=")</f>
        <v>#REF!</v>
      </c>
      <c r="HX32" t="e">
        <f>AND(#REF!,"AAAAAGWr6+c=")</f>
        <v>#REF!</v>
      </c>
      <c r="HY32" t="e">
        <f>AND(#REF!,"AAAAAGWr6+g=")</f>
        <v>#REF!</v>
      </c>
      <c r="HZ32" t="e">
        <f>AND(#REF!,"AAAAAGWr6+k=")</f>
        <v>#REF!</v>
      </c>
      <c r="IA32" t="e">
        <f>AND(#REF!,"AAAAAGWr6+o=")</f>
        <v>#REF!</v>
      </c>
      <c r="IB32" t="e">
        <f>AND(#REF!,"AAAAAGWr6+s=")</f>
        <v>#REF!</v>
      </c>
      <c r="IC32" t="e">
        <f>AND(#REF!,"AAAAAGWr6+w=")</f>
        <v>#REF!</v>
      </c>
      <c r="ID32" t="e">
        <f>AND(#REF!,"AAAAAGWr6+0=")</f>
        <v>#REF!</v>
      </c>
      <c r="IE32" t="e">
        <f>AND(#REF!,"AAAAAGWr6+4=")</f>
        <v>#REF!</v>
      </c>
      <c r="IF32" t="e">
        <f>AND(#REF!,"AAAAAGWr6+8=")</f>
        <v>#REF!</v>
      </c>
      <c r="IG32" t="e">
        <f>AND(#REF!,"AAAAAGWr6/A=")</f>
        <v>#REF!</v>
      </c>
      <c r="IH32" t="e">
        <f>AND(#REF!,"AAAAAGWr6/E=")</f>
        <v>#REF!</v>
      </c>
      <c r="II32" t="e">
        <f>AND(#REF!,"AAAAAGWr6/I=")</f>
        <v>#REF!</v>
      </c>
      <c r="IJ32" t="e">
        <f>AND(#REF!,"AAAAAGWr6/M=")</f>
        <v>#REF!</v>
      </c>
      <c r="IK32" t="e">
        <f>AND(#REF!,"AAAAAGWr6/Q=")</f>
        <v>#REF!</v>
      </c>
      <c r="IL32" t="e">
        <f>AND(#REF!,"AAAAAGWr6/U=")</f>
        <v>#REF!</v>
      </c>
      <c r="IM32" t="e">
        <f>AND(#REF!,"AAAAAGWr6/Y=")</f>
        <v>#REF!</v>
      </c>
      <c r="IN32" t="e">
        <f>AND(#REF!,"AAAAAGWr6/c=")</f>
        <v>#REF!</v>
      </c>
      <c r="IO32" t="e">
        <f>AND(#REF!,"AAAAAGWr6/g=")</f>
        <v>#REF!</v>
      </c>
      <c r="IP32" t="e">
        <f>AND(#REF!,"AAAAAGWr6/k=")</f>
        <v>#REF!</v>
      </c>
      <c r="IQ32" t="e">
        <f>AND(#REF!,"AAAAAGWr6/o=")</f>
        <v>#REF!</v>
      </c>
      <c r="IR32" t="e">
        <f>AND(#REF!,"AAAAAGWr6/s=")</f>
        <v>#REF!</v>
      </c>
      <c r="IS32" t="e">
        <f>AND(#REF!,"AAAAAGWr6/w=")</f>
        <v>#REF!</v>
      </c>
      <c r="IT32" t="e">
        <f>AND(#REF!,"AAAAAGWr6/0=")</f>
        <v>#REF!</v>
      </c>
      <c r="IU32" t="e">
        <f>AND(#REF!,"AAAAAGWr6/4=")</f>
        <v>#REF!</v>
      </c>
      <c r="IV32" t="e">
        <f>AND(#REF!,"AAAAAGWr6/8=")</f>
        <v>#REF!</v>
      </c>
    </row>
    <row r="33" spans="1:256" ht="15">
      <c r="A33" t="e">
        <f>AND(#REF!,"AAAAAD8v9wA=")</f>
        <v>#REF!</v>
      </c>
      <c r="B33" t="e">
        <f>AND(#REF!,"AAAAAD8v9wE=")</f>
        <v>#REF!</v>
      </c>
      <c r="C33" t="e">
        <f>AND(#REF!,"AAAAAD8v9wI=")</f>
        <v>#REF!</v>
      </c>
      <c r="D33" t="e">
        <f>AND(#REF!,"AAAAAD8v9wM=")</f>
        <v>#REF!</v>
      </c>
      <c r="E33" t="e">
        <f>AND(#REF!,"AAAAAD8v9wQ=")</f>
        <v>#REF!</v>
      </c>
      <c r="F33" t="e">
        <f>AND(#REF!,"AAAAAD8v9wU=")</f>
        <v>#REF!</v>
      </c>
      <c r="G33" t="e">
        <f>AND(#REF!,"AAAAAD8v9wY=")</f>
        <v>#REF!</v>
      </c>
      <c r="H33" t="e">
        <f>AND(#REF!,"AAAAAD8v9wc=")</f>
        <v>#REF!</v>
      </c>
      <c r="I33" t="e">
        <f>AND(#REF!,"AAAAAD8v9wg=")</f>
        <v>#REF!</v>
      </c>
      <c r="J33" t="e">
        <f>AND(#REF!,"AAAAAD8v9wk=")</f>
        <v>#REF!</v>
      </c>
      <c r="K33" t="e">
        <f>AND(#REF!,"AAAAAD8v9wo=")</f>
        <v>#REF!</v>
      </c>
      <c r="L33" t="e">
        <f>AND(#REF!,"AAAAAD8v9ws=")</f>
        <v>#REF!</v>
      </c>
      <c r="M33" t="e">
        <f>AND(#REF!,"AAAAAD8v9ww=")</f>
        <v>#REF!</v>
      </c>
      <c r="N33" t="e">
        <f>AND(#REF!,"AAAAAD8v9w0=")</f>
        <v>#REF!</v>
      </c>
      <c r="O33" t="e">
        <f>AND(#REF!,"AAAAAD8v9w4=")</f>
        <v>#REF!</v>
      </c>
      <c r="P33" t="e">
        <f>AND(#REF!,"AAAAAD8v9w8=")</f>
        <v>#REF!</v>
      </c>
      <c r="Q33" t="e">
        <f>AND(#REF!,"AAAAAD8v9xA=")</f>
        <v>#REF!</v>
      </c>
      <c r="R33" t="e">
        <f>AND(#REF!,"AAAAAD8v9xE=")</f>
        <v>#REF!</v>
      </c>
      <c r="S33" t="e">
        <f>AND(#REF!,"AAAAAD8v9xI=")</f>
        <v>#REF!</v>
      </c>
      <c r="T33" t="e">
        <f>AND(#REF!,"AAAAAD8v9xM=")</f>
        <v>#REF!</v>
      </c>
      <c r="U33" t="e">
        <f>AND(#REF!,"AAAAAD8v9xQ=")</f>
        <v>#REF!</v>
      </c>
      <c r="V33" t="e">
        <f>AND(#REF!,"AAAAAD8v9xU=")</f>
        <v>#REF!</v>
      </c>
      <c r="W33" t="e">
        <f>AND(#REF!,"AAAAAD8v9xY=")</f>
        <v>#REF!</v>
      </c>
      <c r="X33" t="e">
        <f>AND(#REF!,"AAAAAD8v9xc=")</f>
        <v>#REF!</v>
      </c>
      <c r="Y33" t="e">
        <f>AND(#REF!,"AAAAAD8v9xg=")</f>
        <v>#REF!</v>
      </c>
      <c r="Z33" t="e">
        <f>AND(#REF!,"AAAAAD8v9xk=")</f>
        <v>#REF!</v>
      </c>
      <c r="AA33" t="e">
        <f>AND(#REF!,"AAAAAD8v9xo=")</f>
        <v>#REF!</v>
      </c>
      <c r="AB33" t="e">
        <f>AND(#REF!,"AAAAAD8v9xs=")</f>
        <v>#REF!</v>
      </c>
      <c r="AC33" t="e">
        <f>AND(#REF!,"AAAAAD8v9xw=")</f>
        <v>#REF!</v>
      </c>
      <c r="AD33" t="e">
        <f>AND(#REF!,"AAAAAD8v9x0=")</f>
        <v>#REF!</v>
      </c>
      <c r="AE33" t="e">
        <f>AND(#REF!,"AAAAAD8v9x4=")</f>
        <v>#REF!</v>
      </c>
      <c r="AF33" t="e">
        <f>AND(#REF!,"AAAAAD8v9x8=")</f>
        <v>#REF!</v>
      </c>
      <c r="AG33" t="e">
        <f>AND(#REF!,"AAAAAD8v9yA=")</f>
        <v>#REF!</v>
      </c>
      <c r="AH33" t="e">
        <f>AND(#REF!,"AAAAAD8v9yE=")</f>
        <v>#REF!</v>
      </c>
      <c r="AI33" t="e">
        <f>AND(#REF!,"AAAAAD8v9yI=")</f>
        <v>#REF!</v>
      </c>
      <c r="AJ33" t="e">
        <f>AND(#REF!,"AAAAAD8v9yM=")</f>
        <v>#REF!</v>
      </c>
      <c r="AK33" t="e">
        <f>AND(#REF!,"AAAAAD8v9yQ=")</f>
        <v>#REF!</v>
      </c>
      <c r="AL33" t="e">
        <f>AND(#REF!,"AAAAAD8v9yU=")</f>
        <v>#REF!</v>
      </c>
      <c r="AM33" t="e">
        <f>AND(#REF!,"AAAAAD8v9yY=")</f>
        <v>#REF!</v>
      </c>
      <c r="AN33" t="e">
        <f>AND(#REF!,"AAAAAD8v9yc=")</f>
        <v>#REF!</v>
      </c>
      <c r="AO33" t="e">
        <f>AND(#REF!,"AAAAAD8v9yg=")</f>
        <v>#REF!</v>
      </c>
      <c r="AP33" t="e">
        <f>AND(#REF!,"AAAAAD8v9yk=")</f>
        <v>#REF!</v>
      </c>
      <c r="AQ33" t="e">
        <f>AND(#REF!,"AAAAAD8v9yo=")</f>
        <v>#REF!</v>
      </c>
      <c r="AR33" t="e">
        <f>AND(#REF!,"AAAAAD8v9ys=")</f>
        <v>#REF!</v>
      </c>
      <c r="AS33" t="e">
        <f>AND(#REF!,"AAAAAD8v9yw=")</f>
        <v>#REF!</v>
      </c>
      <c r="AT33" t="e">
        <f>AND(#REF!,"AAAAAD8v9y0=")</f>
        <v>#REF!</v>
      </c>
      <c r="AU33" t="e">
        <f>AND(#REF!,"AAAAAD8v9y4=")</f>
        <v>#REF!</v>
      </c>
      <c r="AV33" t="e">
        <f>AND(#REF!,"AAAAAD8v9y8=")</f>
        <v>#REF!</v>
      </c>
      <c r="AW33" t="e">
        <f>AND(#REF!,"AAAAAD8v9zA=")</f>
        <v>#REF!</v>
      </c>
      <c r="AX33" t="e">
        <f>AND(#REF!,"AAAAAD8v9zE=")</f>
        <v>#REF!</v>
      </c>
      <c r="AY33" t="e">
        <f>AND(#REF!,"AAAAAD8v9zI=")</f>
        <v>#REF!</v>
      </c>
      <c r="AZ33" t="e">
        <f>AND(#REF!,"AAAAAD8v9zM=")</f>
        <v>#REF!</v>
      </c>
      <c r="BA33" t="e">
        <f>AND(#REF!,"AAAAAD8v9zQ=")</f>
        <v>#REF!</v>
      </c>
      <c r="BB33" t="e">
        <f>AND(#REF!,"AAAAAD8v9zU=")</f>
        <v>#REF!</v>
      </c>
      <c r="BC33" t="e">
        <f>AND(#REF!,"AAAAAD8v9zY=")</f>
        <v>#REF!</v>
      </c>
      <c r="BD33" t="e">
        <f>AND(#REF!,"AAAAAD8v9zc=")</f>
        <v>#REF!</v>
      </c>
      <c r="BE33" t="e">
        <f>AND(#REF!,"AAAAAD8v9zg=")</f>
        <v>#REF!</v>
      </c>
      <c r="BF33" t="e">
        <f>AND(#REF!,"AAAAAD8v9zk=")</f>
        <v>#REF!</v>
      </c>
      <c r="BG33" t="e">
        <f>AND(#REF!,"AAAAAD8v9zo=")</f>
        <v>#REF!</v>
      </c>
      <c r="BH33" t="e">
        <f>AND(#REF!,"AAAAAD8v9zs=")</f>
        <v>#REF!</v>
      </c>
      <c r="BI33" t="e">
        <f>AND(#REF!,"AAAAAD8v9zw=")</f>
        <v>#REF!</v>
      </c>
      <c r="BJ33" t="e">
        <f>AND(#REF!,"AAAAAD8v9z0=")</f>
        <v>#REF!</v>
      </c>
      <c r="BK33" t="e">
        <f>AND(#REF!,"AAAAAD8v9z4=")</f>
        <v>#REF!</v>
      </c>
      <c r="BL33" t="e">
        <f>AND(#REF!,"AAAAAD8v9z8=")</f>
        <v>#REF!</v>
      </c>
      <c r="BM33" t="e">
        <f>AND(#REF!,"AAAAAD8v90A=")</f>
        <v>#REF!</v>
      </c>
      <c r="BN33" t="e">
        <f>AND(#REF!,"AAAAAD8v90E=")</f>
        <v>#REF!</v>
      </c>
      <c r="BO33" t="e">
        <f>AND(#REF!,"AAAAAD8v90I=")</f>
        <v>#REF!</v>
      </c>
      <c r="BP33" t="e">
        <f>AND(#REF!,"AAAAAD8v90M=")</f>
        <v>#REF!</v>
      </c>
      <c r="BQ33" t="e">
        <f>AND(#REF!,"AAAAAD8v90Q=")</f>
        <v>#REF!</v>
      </c>
      <c r="BR33" t="e">
        <f>AND(#REF!,"AAAAAD8v90U=")</f>
        <v>#REF!</v>
      </c>
      <c r="BS33" t="e">
        <f>AND(#REF!,"AAAAAD8v90Y=")</f>
        <v>#REF!</v>
      </c>
      <c r="BT33" t="e">
        <f>AND(#REF!,"AAAAAD8v90c=")</f>
        <v>#REF!</v>
      </c>
      <c r="BU33" t="e">
        <f>AND(#REF!,"AAAAAD8v90g=")</f>
        <v>#REF!</v>
      </c>
      <c r="BV33" t="e">
        <f>AND(#REF!,"AAAAAD8v90k=")</f>
        <v>#REF!</v>
      </c>
      <c r="BW33" t="e">
        <f>AND(#REF!,"AAAAAD8v90o=")</f>
        <v>#REF!</v>
      </c>
      <c r="BX33" t="e">
        <f>AND(#REF!,"AAAAAD8v90s=")</f>
        <v>#REF!</v>
      </c>
      <c r="BY33" t="e">
        <f>AND(#REF!,"AAAAAD8v90w=")</f>
        <v>#REF!</v>
      </c>
      <c r="BZ33" t="e">
        <f>AND(#REF!,"AAAAAD8v900=")</f>
        <v>#REF!</v>
      </c>
      <c r="CA33" t="e">
        <f>AND(#REF!,"AAAAAD8v904=")</f>
        <v>#REF!</v>
      </c>
      <c r="CB33" t="e">
        <f>AND(#REF!,"AAAAAD8v908=")</f>
        <v>#REF!</v>
      </c>
      <c r="CC33" t="e">
        <f>AND(#REF!,"AAAAAD8v91A=")</f>
        <v>#REF!</v>
      </c>
      <c r="CD33" t="e">
        <f>AND(#REF!,"AAAAAD8v91E=")</f>
        <v>#REF!</v>
      </c>
      <c r="CE33" t="e">
        <f>AND(#REF!,"AAAAAD8v91I=")</f>
        <v>#REF!</v>
      </c>
      <c r="CF33" t="e">
        <f>AND(#REF!,"AAAAAD8v91M=")</f>
        <v>#REF!</v>
      </c>
      <c r="CG33" t="e">
        <f>AND(#REF!,"AAAAAD8v91Q=")</f>
        <v>#REF!</v>
      </c>
      <c r="CH33" t="e">
        <f>AND(#REF!,"AAAAAD8v91U=")</f>
        <v>#REF!</v>
      </c>
      <c r="CI33" t="e">
        <f>AND(#REF!,"AAAAAD8v91Y=")</f>
        <v>#REF!</v>
      </c>
      <c r="CJ33" t="e">
        <f>AND(#REF!,"AAAAAD8v91c=")</f>
        <v>#REF!</v>
      </c>
      <c r="CK33" t="e">
        <f>AND(#REF!,"AAAAAD8v91g=")</f>
        <v>#REF!</v>
      </c>
      <c r="CL33" t="e">
        <f>AND(#REF!,"AAAAAD8v91k=")</f>
        <v>#REF!</v>
      </c>
      <c r="CM33" t="e">
        <f>AND(#REF!,"AAAAAD8v91o=")</f>
        <v>#REF!</v>
      </c>
      <c r="CN33" t="e">
        <f>AND(#REF!,"AAAAAD8v91s=")</f>
        <v>#REF!</v>
      </c>
      <c r="CO33" t="e">
        <f>AND(#REF!,"AAAAAD8v91w=")</f>
        <v>#REF!</v>
      </c>
      <c r="CP33" t="e">
        <f>AND(#REF!,"AAAAAD8v910=")</f>
        <v>#REF!</v>
      </c>
      <c r="CQ33" t="e">
        <f>AND(#REF!,"AAAAAD8v914=")</f>
        <v>#REF!</v>
      </c>
      <c r="CR33" t="e">
        <f>AND(#REF!,"AAAAAD8v918=")</f>
        <v>#REF!</v>
      </c>
      <c r="CS33" t="e">
        <f>AND(#REF!,"AAAAAD8v92A=")</f>
        <v>#REF!</v>
      </c>
      <c r="CT33" t="e">
        <f>AND(#REF!,"AAAAAD8v92E=")</f>
        <v>#REF!</v>
      </c>
      <c r="CU33" t="e">
        <f>AND(#REF!,"AAAAAD8v92I=")</f>
        <v>#REF!</v>
      </c>
      <c r="CV33" t="e">
        <f>AND(#REF!,"AAAAAD8v92M=")</f>
        <v>#REF!</v>
      </c>
      <c r="CW33" t="e">
        <f>AND(#REF!,"AAAAAD8v92Q=")</f>
        <v>#REF!</v>
      </c>
      <c r="CX33" t="e">
        <f>AND(#REF!,"AAAAAD8v92U=")</f>
        <v>#REF!</v>
      </c>
      <c r="CY33" t="e">
        <f>AND(#REF!,"AAAAAD8v92Y=")</f>
        <v>#REF!</v>
      </c>
      <c r="CZ33" t="e">
        <f>IF(#REF!,"AAAAAD8v92c=",0)</f>
        <v>#REF!</v>
      </c>
      <c r="DA33" t="e">
        <f>AND(#REF!,"AAAAAD8v92g=")</f>
        <v>#REF!</v>
      </c>
      <c r="DB33" t="e">
        <f>AND(#REF!,"AAAAAD8v92k=")</f>
        <v>#REF!</v>
      </c>
      <c r="DC33" t="e">
        <f>AND(#REF!,"AAAAAD8v92o=")</f>
        <v>#REF!</v>
      </c>
      <c r="DD33" t="e">
        <f>AND(#REF!,"AAAAAD8v92s=")</f>
        <v>#REF!</v>
      </c>
      <c r="DE33" t="e">
        <f>AND(#REF!,"AAAAAD8v92w=")</f>
        <v>#REF!</v>
      </c>
      <c r="DF33" t="e">
        <f>AND(#REF!,"AAAAAD8v920=")</f>
        <v>#REF!</v>
      </c>
      <c r="DG33" t="e">
        <f>AND(#REF!,"AAAAAD8v924=")</f>
        <v>#REF!</v>
      </c>
      <c r="DH33" t="e">
        <f>AND(#REF!,"AAAAAD8v928=")</f>
        <v>#REF!</v>
      </c>
      <c r="DI33" t="e">
        <f>AND(#REF!,"AAAAAD8v93A=")</f>
        <v>#REF!</v>
      </c>
      <c r="DJ33" t="e">
        <f>AND(#REF!,"AAAAAD8v93E=")</f>
        <v>#REF!</v>
      </c>
      <c r="DK33" t="e">
        <f>AND(#REF!,"AAAAAD8v93I=")</f>
        <v>#REF!</v>
      </c>
      <c r="DL33" t="e">
        <f>AND(#REF!,"AAAAAD8v93M=")</f>
        <v>#REF!</v>
      </c>
      <c r="DM33" t="e">
        <f>AND(#REF!,"AAAAAD8v93Q=")</f>
        <v>#REF!</v>
      </c>
      <c r="DN33" t="e">
        <f>AND(#REF!,"AAAAAD8v93U=")</f>
        <v>#REF!</v>
      </c>
      <c r="DO33" t="e">
        <f>AND(#REF!,"AAAAAD8v93Y=")</f>
        <v>#REF!</v>
      </c>
      <c r="DP33" t="e">
        <f>AND(#REF!,"AAAAAD8v93c=")</f>
        <v>#REF!</v>
      </c>
      <c r="DQ33" t="e">
        <f>AND(#REF!,"AAAAAD8v93g=")</f>
        <v>#REF!</v>
      </c>
      <c r="DR33" t="e">
        <f>AND(#REF!,"AAAAAD8v93k=")</f>
        <v>#REF!</v>
      </c>
      <c r="DS33" t="e">
        <f>AND(#REF!,"AAAAAD8v93o=")</f>
        <v>#REF!</v>
      </c>
      <c r="DT33" t="e">
        <f>AND(#REF!,"AAAAAD8v93s=")</f>
        <v>#REF!</v>
      </c>
      <c r="DU33" t="e">
        <f>AND(#REF!,"AAAAAD8v93w=")</f>
        <v>#REF!</v>
      </c>
      <c r="DV33" t="e">
        <f>AND(#REF!,"AAAAAD8v930=")</f>
        <v>#REF!</v>
      </c>
      <c r="DW33" t="e">
        <f>AND(#REF!,"AAAAAD8v934=")</f>
        <v>#REF!</v>
      </c>
      <c r="DX33" t="e">
        <f>AND(#REF!,"AAAAAD8v938=")</f>
        <v>#REF!</v>
      </c>
      <c r="DY33" t="e">
        <f>AND(#REF!,"AAAAAD8v94A=")</f>
        <v>#REF!</v>
      </c>
      <c r="DZ33" t="e">
        <f>AND(#REF!,"AAAAAD8v94E=")</f>
        <v>#REF!</v>
      </c>
      <c r="EA33" t="e">
        <f>AND(#REF!,"AAAAAD8v94I=")</f>
        <v>#REF!</v>
      </c>
      <c r="EB33" t="e">
        <f>AND(#REF!,"AAAAAD8v94M=")</f>
        <v>#REF!</v>
      </c>
      <c r="EC33" t="e">
        <f>AND(#REF!,"AAAAAD8v94Q=")</f>
        <v>#REF!</v>
      </c>
      <c r="ED33" t="e">
        <f>AND(#REF!,"AAAAAD8v94U=")</f>
        <v>#REF!</v>
      </c>
      <c r="EE33" t="e">
        <f>AND(#REF!,"AAAAAD8v94Y=")</f>
        <v>#REF!</v>
      </c>
      <c r="EF33" t="e">
        <f>AND(#REF!,"AAAAAD8v94c=")</f>
        <v>#REF!</v>
      </c>
      <c r="EG33" t="e">
        <f>AND(#REF!,"AAAAAD8v94g=")</f>
        <v>#REF!</v>
      </c>
      <c r="EH33" t="e">
        <f>AND(#REF!,"AAAAAD8v94k=")</f>
        <v>#REF!</v>
      </c>
      <c r="EI33" t="e">
        <f>AND(#REF!,"AAAAAD8v94o=")</f>
        <v>#REF!</v>
      </c>
      <c r="EJ33" t="e">
        <f>AND(#REF!,"AAAAAD8v94s=")</f>
        <v>#REF!</v>
      </c>
      <c r="EK33" t="e">
        <f>AND(#REF!,"AAAAAD8v94w=")</f>
        <v>#REF!</v>
      </c>
      <c r="EL33" t="e">
        <f>AND(#REF!,"AAAAAD8v940=")</f>
        <v>#REF!</v>
      </c>
      <c r="EM33" t="e">
        <f>AND(#REF!,"AAAAAD8v944=")</f>
        <v>#REF!</v>
      </c>
      <c r="EN33" t="e">
        <f>AND(#REF!,"AAAAAD8v948=")</f>
        <v>#REF!</v>
      </c>
      <c r="EO33" t="e">
        <f>AND(#REF!,"AAAAAD8v95A=")</f>
        <v>#REF!</v>
      </c>
      <c r="EP33" t="e">
        <f>AND(#REF!,"AAAAAD8v95E=")</f>
        <v>#REF!</v>
      </c>
      <c r="EQ33" t="e">
        <f>AND(#REF!,"AAAAAD8v95I=")</f>
        <v>#REF!</v>
      </c>
      <c r="ER33" t="e">
        <f>AND(#REF!,"AAAAAD8v95M=")</f>
        <v>#REF!</v>
      </c>
      <c r="ES33" t="e">
        <f>AND(#REF!,"AAAAAD8v95Q=")</f>
        <v>#REF!</v>
      </c>
      <c r="ET33" t="e">
        <f>AND(#REF!,"AAAAAD8v95U=")</f>
        <v>#REF!</v>
      </c>
      <c r="EU33" t="e">
        <f>AND(#REF!,"AAAAAD8v95Y=")</f>
        <v>#REF!</v>
      </c>
      <c r="EV33" t="e">
        <f>AND(#REF!,"AAAAAD8v95c=")</f>
        <v>#REF!</v>
      </c>
      <c r="EW33" t="e">
        <f>AND(#REF!,"AAAAAD8v95g=")</f>
        <v>#REF!</v>
      </c>
      <c r="EX33" t="e">
        <f>AND(#REF!,"AAAAAD8v95k=")</f>
        <v>#REF!</v>
      </c>
      <c r="EY33" t="e">
        <f>AND(#REF!,"AAAAAD8v95o=")</f>
        <v>#REF!</v>
      </c>
      <c r="EZ33" t="e">
        <f>AND(#REF!,"AAAAAD8v95s=")</f>
        <v>#REF!</v>
      </c>
      <c r="FA33" t="e">
        <f>AND(#REF!,"AAAAAD8v95w=")</f>
        <v>#REF!</v>
      </c>
      <c r="FB33" t="e">
        <f>AND(#REF!,"AAAAAD8v950=")</f>
        <v>#REF!</v>
      </c>
      <c r="FC33" t="e">
        <f>AND(#REF!,"AAAAAD8v954=")</f>
        <v>#REF!</v>
      </c>
      <c r="FD33" t="e">
        <f>AND(#REF!,"AAAAAD8v958=")</f>
        <v>#REF!</v>
      </c>
      <c r="FE33" t="e">
        <f>AND(#REF!,"AAAAAD8v96A=")</f>
        <v>#REF!</v>
      </c>
      <c r="FF33" t="e">
        <f>AND(#REF!,"AAAAAD8v96E=")</f>
        <v>#REF!</v>
      </c>
      <c r="FG33" t="e">
        <f>AND(#REF!,"AAAAAD8v96I=")</f>
        <v>#REF!</v>
      </c>
      <c r="FH33" t="e">
        <f>AND(#REF!,"AAAAAD8v96M=")</f>
        <v>#REF!</v>
      </c>
      <c r="FI33" t="e">
        <f>AND(#REF!,"AAAAAD8v96Q=")</f>
        <v>#REF!</v>
      </c>
      <c r="FJ33" t="e">
        <f>AND(#REF!,"AAAAAD8v96U=")</f>
        <v>#REF!</v>
      </c>
      <c r="FK33" t="e">
        <f>AND(#REF!,"AAAAAD8v96Y=")</f>
        <v>#REF!</v>
      </c>
      <c r="FL33" t="e">
        <f>AND(#REF!,"AAAAAD8v96c=")</f>
        <v>#REF!</v>
      </c>
      <c r="FM33" t="e">
        <f>AND(#REF!,"AAAAAD8v96g=")</f>
        <v>#REF!</v>
      </c>
      <c r="FN33" t="e">
        <f>AND(#REF!,"AAAAAD8v96k=")</f>
        <v>#REF!</v>
      </c>
      <c r="FO33" t="e">
        <f>AND(#REF!,"AAAAAD8v96o=")</f>
        <v>#REF!</v>
      </c>
      <c r="FP33" t="e">
        <f>AND(#REF!,"AAAAAD8v96s=")</f>
        <v>#REF!</v>
      </c>
      <c r="FQ33" t="e">
        <f>AND(#REF!,"AAAAAD8v96w=")</f>
        <v>#REF!</v>
      </c>
      <c r="FR33" t="e">
        <f>AND(#REF!,"AAAAAD8v960=")</f>
        <v>#REF!</v>
      </c>
      <c r="FS33" t="e">
        <f>AND(#REF!,"AAAAAD8v964=")</f>
        <v>#REF!</v>
      </c>
      <c r="FT33" t="e">
        <f>AND(#REF!,"AAAAAD8v968=")</f>
        <v>#REF!</v>
      </c>
      <c r="FU33" t="e">
        <f>AND(#REF!,"AAAAAD8v97A=")</f>
        <v>#REF!</v>
      </c>
      <c r="FV33" t="e">
        <f>AND(#REF!,"AAAAAD8v97E=")</f>
        <v>#REF!</v>
      </c>
      <c r="FW33" t="e">
        <f>AND(#REF!,"AAAAAD8v97I=")</f>
        <v>#REF!</v>
      </c>
      <c r="FX33" t="e">
        <f>AND(#REF!,"AAAAAD8v97M=")</f>
        <v>#REF!</v>
      </c>
      <c r="FY33" t="e">
        <f>AND(#REF!,"AAAAAD8v97Q=")</f>
        <v>#REF!</v>
      </c>
      <c r="FZ33" t="e">
        <f>AND(#REF!,"AAAAAD8v97U=")</f>
        <v>#REF!</v>
      </c>
      <c r="GA33" t="e">
        <f>AND(#REF!,"AAAAAD8v97Y=")</f>
        <v>#REF!</v>
      </c>
      <c r="GB33" t="e">
        <f>AND(#REF!,"AAAAAD8v97c=")</f>
        <v>#REF!</v>
      </c>
      <c r="GC33" t="e">
        <f>AND(#REF!,"AAAAAD8v97g=")</f>
        <v>#REF!</v>
      </c>
      <c r="GD33" t="e">
        <f>AND(#REF!,"AAAAAD8v97k=")</f>
        <v>#REF!</v>
      </c>
      <c r="GE33" t="e">
        <f>AND(#REF!,"AAAAAD8v97o=")</f>
        <v>#REF!</v>
      </c>
      <c r="GF33" t="e">
        <f>AND(#REF!,"AAAAAD8v97s=")</f>
        <v>#REF!</v>
      </c>
      <c r="GG33" t="e">
        <f>AND(#REF!,"AAAAAD8v97w=")</f>
        <v>#REF!</v>
      </c>
      <c r="GH33" t="e">
        <f>AND(#REF!,"AAAAAD8v970=")</f>
        <v>#REF!</v>
      </c>
      <c r="GI33" t="e">
        <f>AND(#REF!,"AAAAAD8v974=")</f>
        <v>#REF!</v>
      </c>
      <c r="GJ33" t="e">
        <f>AND(#REF!,"AAAAAD8v978=")</f>
        <v>#REF!</v>
      </c>
      <c r="GK33" t="e">
        <f>AND(#REF!,"AAAAAD8v98A=")</f>
        <v>#REF!</v>
      </c>
      <c r="GL33" t="e">
        <f>AND(#REF!,"AAAAAD8v98E=")</f>
        <v>#REF!</v>
      </c>
      <c r="GM33" t="e">
        <f>AND(#REF!,"AAAAAD8v98I=")</f>
        <v>#REF!</v>
      </c>
      <c r="GN33" t="e">
        <f>AND(#REF!,"AAAAAD8v98M=")</f>
        <v>#REF!</v>
      </c>
      <c r="GO33" t="e">
        <f>AND(#REF!,"AAAAAD8v98Q=")</f>
        <v>#REF!</v>
      </c>
      <c r="GP33" t="e">
        <f>AND(#REF!,"AAAAAD8v98U=")</f>
        <v>#REF!</v>
      </c>
      <c r="GQ33" t="e">
        <f>AND(#REF!,"AAAAAD8v98Y=")</f>
        <v>#REF!</v>
      </c>
      <c r="GR33" t="e">
        <f>AND(#REF!,"AAAAAD8v98c=")</f>
        <v>#REF!</v>
      </c>
      <c r="GS33" t="e">
        <f>AND(#REF!,"AAAAAD8v98g=")</f>
        <v>#REF!</v>
      </c>
      <c r="GT33" t="e">
        <f>AND(#REF!,"AAAAAD8v98k=")</f>
        <v>#REF!</v>
      </c>
      <c r="GU33" t="e">
        <f>AND(#REF!,"AAAAAD8v98o=")</f>
        <v>#REF!</v>
      </c>
      <c r="GV33" t="e">
        <f>AND(#REF!,"AAAAAD8v98s=")</f>
        <v>#REF!</v>
      </c>
      <c r="GW33" t="e">
        <f>AND(#REF!,"AAAAAD8v98w=")</f>
        <v>#REF!</v>
      </c>
      <c r="GX33" t="e">
        <f>AND(#REF!,"AAAAAD8v980=")</f>
        <v>#REF!</v>
      </c>
      <c r="GY33" t="e">
        <f>AND(#REF!,"AAAAAD8v984=")</f>
        <v>#REF!</v>
      </c>
      <c r="GZ33" t="e">
        <f>AND(#REF!,"AAAAAD8v988=")</f>
        <v>#REF!</v>
      </c>
      <c r="HA33" t="e">
        <f>AND(#REF!,"AAAAAD8v99A=")</f>
        <v>#REF!</v>
      </c>
      <c r="HB33" t="e">
        <f>AND(#REF!,"AAAAAD8v99E=")</f>
        <v>#REF!</v>
      </c>
      <c r="HC33" t="e">
        <f>AND(#REF!,"AAAAAD8v99I=")</f>
        <v>#REF!</v>
      </c>
      <c r="HD33" t="e">
        <f>AND(#REF!,"AAAAAD8v99M=")</f>
        <v>#REF!</v>
      </c>
      <c r="HE33" t="e">
        <f>AND(#REF!,"AAAAAD8v99Q=")</f>
        <v>#REF!</v>
      </c>
      <c r="HF33" t="e">
        <f>AND(#REF!,"AAAAAD8v99U=")</f>
        <v>#REF!</v>
      </c>
      <c r="HG33" t="e">
        <f>AND(#REF!,"AAAAAD8v99Y=")</f>
        <v>#REF!</v>
      </c>
      <c r="HH33" t="e">
        <f>AND(#REF!,"AAAAAD8v99c=")</f>
        <v>#REF!</v>
      </c>
      <c r="HI33" t="e">
        <f>AND(#REF!,"AAAAAD8v99g=")</f>
        <v>#REF!</v>
      </c>
      <c r="HJ33" t="e">
        <f>AND(#REF!,"AAAAAD8v99k=")</f>
        <v>#REF!</v>
      </c>
      <c r="HK33" t="e">
        <f>AND(#REF!,"AAAAAD8v99o=")</f>
        <v>#REF!</v>
      </c>
      <c r="HL33" t="e">
        <f>AND(#REF!,"AAAAAD8v99s=")</f>
        <v>#REF!</v>
      </c>
      <c r="HM33" t="e">
        <f>AND(#REF!,"AAAAAD8v99w=")</f>
        <v>#REF!</v>
      </c>
      <c r="HN33" t="e">
        <f>AND(#REF!,"AAAAAD8v990=")</f>
        <v>#REF!</v>
      </c>
      <c r="HO33" t="e">
        <f>AND(#REF!,"AAAAAD8v994=")</f>
        <v>#REF!</v>
      </c>
      <c r="HP33" t="e">
        <f>AND(#REF!,"AAAAAD8v998=")</f>
        <v>#REF!</v>
      </c>
      <c r="HQ33" t="e">
        <f>AND(#REF!,"AAAAAD8v9+A=")</f>
        <v>#REF!</v>
      </c>
      <c r="HR33" t="e">
        <f>AND(#REF!,"AAAAAD8v9+E=")</f>
        <v>#REF!</v>
      </c>
      <c r="HS33" t="e">
        <f>AND(#REF!,"AAAAAD8v9+I=")</f>
        <v>#REF!</v>
      </c>
      <c r="HT33" t="e">
        <f>AND(#REF!,"AAAAAD8v9+M=")</f>
        <v>#REF!</v>
      </c>
      <c r="HU33" t="e">
        <f>AND(#REF!,"AAAAAD8v9+Q=")</f>
        <v>#REF!</v>
      </c>
      <c r="HV33" t="e">
        <f>AND(#REF!,"AAAAAD8v9+U=")</f>
        <v>#REF!</v>
      </c>
      <c r="HW33" t="e">
        <f>AND(#REF!,"AAAAAD8v9+Y=")</f>
        <v>#REF!</v>
      </c>
      <c r="HX33" t="e">
        <f>AND(#REF!,"AAAAAD8v9+c=")</f>
        <v>#REF!</v>
      </c>
      <c r="HY33" t="e">
        <f>AND(#REF!,"AAAAAD8v9+g=")</f>
        <v>#REF!</v>
      </c>
      <c r="HZ33" t="e">
        <f>AND(#REF!,"AAAAAD8v9+k=")</f>
        <v>#REF!</v>
      </c>
      <c r="IA33" t="e">
        <f>AND(#REF!,"AAAAAD8v9+o=")</f>
        <v>#REF!</v>
      </c>
      <c r="IB33" t="e">
        <f>AND(#REF!,"AAAAAD8v9+s=")</f>
        <v>#REF!</v>
      </c>
      <c r="IC33" t="e">
        <f>AND(#REF!,"AAAAAD8v9+w=")</f>
        <v>#REF!</v>
      </c>
      <c r="ID33" t="e">
        <f>AND(#REF!,"AAAAAD8v9+0=")</f>
        <v>#REF!</v>
      </c>
      <c r="IE33" t="e">
        <f>AND(#REF!,"AAAAAD8v9+4=")</f>
        <v>#REF!</v>
      </c>
      <c r="IF33" t="e">
        <f>IF(#REF!,"AAAAAD8v9+8=",0)</f>
        <v>#REF!</v>
      </c>
      <c r="IG33" t="e">
        <f>AND(#REF!,"AAAAAD8v9/A=")</f>
        <v>#REF!</v>
      </c>
      <c r="IH33" t="e">
        <f>AND(#REF!,"AAAAAD8v9/E=")</f>
        <v>#REF!</v>
      </c>
      <c r="II33" t="e">
        <f>AND(#REF!,"AAAAAD8v9/I=")</f>
        <v>#REF!</v>
      </c>
      <c r="IJ33" t="e">
        <f>AND(#REF!,"AAAAAD8v9/M=")</f>
        <v>#REF!</v>
      </c>
      <c r="IK33" t="e">
        <f>AND(#REF!,"AAAAAD8v9/Q=")</f>
        <v>#REF!</v>
      </c>
      <c r="IL33" t="e">
        <f>AND(#REF!,"AAAAAD8v9/U=")</f>
        <v>#REF!</v>
      </c>
      <c r="IM33" t="e">
        <f>AND(#REF!,"AAAAAD8v9/Y=")</f>
        <v>#REF!</v>
      </c>
      <c r="IN33" t="e">
        <f>AND(#REF!,"AAAAAD8v9/c=")</f>
        <v>#REF!</v>
      </c>
      <c r="IO33" t="e">
        <f>AND(#REF!,"AAAAAD8v9/g=")</f>
        <v>#REF!</v>
      </c>
      <c r="IP33" t="e">
        <f>AND(#REF!,"AAAAAD8v9/k=")</f>
        <v>#REF!</v>
      </c>
      <c r="IQ33" t="e">
        <f>AND(#REF!,"AAAAAD8v9/o=")</f>
        <v>#REF!</v>
      </c>
      <c r="IR33" t="e">
        <f>AND(#REF!,"AAAAAD8v9/s=")</f>
        <v>#REF!</v>
      </c>
      <c r="IS33" t="e">
        <f>AND(#REF!,"AAAAAD8v9/w=")</f>
        <v>#REF!</v>
      </c>
      <c r="IT33" t="e">
        <f>AND(#REF!,"AAAAAD8v9/0=")</f>
        <v>#REF!</v>
      </c>
      <c r="IU33" t="e">
        <f>AND(#REF!,"AAAAAD8v9/4=")</f>
        <v>#REF!</v>
      </c>
      <c r="IV33" t="e">
        <f>AND(#REF!,"AAAAAD8v9/8=")</f>
        <v>#REF!</v>
      </c>
    </row>
    <row r="34" spans="1:256" ht="15">
      <c r="A34" t="e">
        <f>AND(#REF!,"AAAAAHd/nQA=")</f>
        <v>#REF!</v>
      </c>
      <c r="B34" t="e">
        <f>AND(#REF!,"AAAAAHd/nQE=")</f>
        <v>#REF!</v>
      </c>
      <c r="C34" t="e">
        <f>AND(#REF!,"AAAAAHd/nQI=")</f>
        <v>#REF!</v>
      </c>
      <c r="D34" t="e">
        <f>AND(#REF!,"AAAAAHd/nQM=")</f>
        <v>#REF!</v>
      </c>
      <c r="E34" t="e">
        <f>AND(#REF!,"AAAAAHd/nQQ=")</f>
        <v>#REF!</v>
      </c>
      <c r="F34" t="e">
        <f>AND(#REF!,"AAAAAHd/nQU=")</f>
        <v>#REF!</v>
      </c>
      <c r="G34" t="e">
        <f>AND(#REF!,"AAAAAHd/nQY=")</f>
        <v>#REF!</v>
      </c>
      <c r="H34" t="e">
        <f>AND(#REF!,"AAAAAHd/nQc=")</f>
        <v>#REF!</v>
      </c>
      <c r="I34" t="e">
        <f>AND(#REF!,"AAAAAHd/nQg=")</f>
        <v>#REF!</v>
      </c>
      <c r="J34" t="e">
        <f>AND(#REF!,"AAAAAHd/nQk=")</f>
        <v>#REF!</v>
      </c>
      <c r="K34" t="e">
        <f>AND(#REF!,"AAAAAHd/nQo=")</f>
        <v>#REF!</v>
      </c>
      <c r="L34" t="e">
        <f>AND(#REF!,"AAAAAHd/nQs=")</f>
        <v>#REF!</v>
      </c>
      <c r="M34" t="e">
        <f>AND(#REF!,"AAAAAHd/nQw=")</f>
        <v>#REF!</v>
      </c>
      <c r="N34" t="e">
        <f>AND(#REF!,"AAAAAHd/nQ0=")</f>
        <v>#REF!</v>
      </c>
      <c r="O34" t="e">
        <f>AND(#REF!,"AAAAAHd/nQ4=")</f>
        <v>#REF!</v>
      </c>
      <c r="P34" t="e">
        <f>AND(#REF!,"AAAAAHd/nQ8=")</f>
        <v>#REF!</v>
      </c>
      <c r="Q34" t="e">
        <f>AND(#REF!,"AAAAAHd/nRA=")</f>
        <v>#REF!</v>
      </c>
      <c r="R34" t="e">
        <f>AND(#REF!,"AAAAAHd/nRE=")</f>
        <v>#REF!</v>
      </c>
      <c r="S34" t="e">
        <f>AND(#REF!,"AAAAAHd/nRI=")</f>
        <v>#REF!</v>
      </c>
      <c r="T34" t="e">
        <f>AND(#REF!,"AAAAAHd/nRM=")</f>
        <v>#REF!</v>
      </c>
      <c r="U34" t="e">
        <f>AND(#REF!,"AAAAAHd/nRQ=")</f>
        <v>#REF!</v>
      </c>
      <c r="V34" t="e">
        <f>AND(#REF!,"AAAAAHd/nRU=")</f>
        <v>#REF!</v>
      </c>
      <c r="W34" t="e">
        <f>AND(#REF!,"AAAAAHd/nRY=")</f>
        <v>#REF!</v>
      </c>
      <c r="X34" t="e">
        <f>AND(#REF!,"AAAAAHd/nRc=")</f>
        <v>#REF!</v>
      </c>
      <c r="Y34" t="e">
        <f>AND(#REF!,"AAAAAHd/nRg=")</f>
        <v>#REF!</v>
      </c>
      <c r="Z34" t="e">
        <f>AND(#REF!,"AAAAAHd/nRk=")</f>
        <v>#REF!</v>
      </c>
      <c r="AA34" t="e">
        <f>AND(#REF!,"AAAAAHd/nRo=")</f>
        <v>#REF!</v>
      </c>
      <c r="AB34" t="e">
        <f>AND(#REF!,"AAAAAHd/nRs=")</f>
        <v>#REF!</v>
      </c>
      <c r="AC34" t="e">
        <f>AND(#REF!,"AAAAAHd/nRw=")</f>
        <v>#REF!</v>
      </c>
      <c r="AD34" t="e">
        <f>AND(#REF!,"AAAAAHd/nR0=")</f>
        <v>#REF!</v>
      </c>
      <c r="AE34" t="e">
        <f>AND(#REF!,"AAAAAHd/nR4=")</f>
        <v>#REF!</v>
      </c>
      <c r="AF34" t="e">
        <f>AND(#REF!,"AAAAAHd/nR8=")</f>
        <v>#REF!</v>
      </c>
      <c r="AG34" t="e">
        <f>AND(#REF!,"AAAAAHd/nSA=")</f>
        <v>#REF!</v>
      </c>
      <c r="AH34" t="e">
        <f>AND(#REF!,"AAAAAHd/nSE=")</f>
        <v>#REF!</v>
      </c>
      <c r="AI34" t="e">
        <f>AND(#REF!,"AAAAAHd/nSI=")</f>
        <v>#REF!</v>
      </c>
      <c r="AJ34" t="e">
        <f>AND(#REF!,"AAAAAHd/nSM=")</f>
        <v>#REF!</v>
      </c>
      <c r="AK34" t="e">
        <f>AND(#REF!,"AAAAAHd/nSQ=")</f>
        <v>#REF!</v>
      </c>
      <c r="AL34" t="e">
        <f>AND(#REF!,"AAAAAHd/nSU=")</f>
        <v>#REF!</v>
      </c>
      <c r="AM34" t="e">
        <f>AND(#REF!,"AAAAAHd/nSY=")</f>
        <v>#REF!</v>
      </c>
      <c r="AN34" t="e">
        <f>AND(#REF!,"AAAAAHd/nSc=")</f>
        <v>#REF!</v>
      </c>
      <c r="AO34" t="e">
        <f>AND(#REF!,"AAAAAHd/nSg=")</f>
        <v>#REF!</v>
      </c>
      <c r="AP34" t="e">
        <f>AND(#REF!,"AAAAAHd/nSk=")</f>
        <v>#REF!</v>
      </c>
      <c r="AQ34" t="e">
        <f>AND(#REF!,"AAAAAHd/nSo=")</f>
        <v>#REF!</v>
      </c>
      <c r="AR34" t="e">
        <f>AND(#REF!,"AAAAAHd/nSs=")</f>
        <v>#REF!</v>
      </c>
      <c r="AS34" t="e">
        <f>AND(#REF!,"AAAAAHd/nSw=")</f>
        <v>#REF!</v>
      </c>
      <c r="AT34" t="e">
        <f>AND(#REF!,"AAAAAHd/nS0=")</f>
        <v>#REF!</v>
      </c>
      <c r="AU34" t="e">
        <f>AND(#REF!,"AAAAAHd/nS4=")</f>
        <v>#REF!</v>
      </c>
      <c r="AV34" t="e">
        <f>AND(#REF!,"AAAAAHd/nS8=")</f>
        <v>#REF!</v>
      </c>
      <c r="AW34" t="e">
        <f>AND(#REF!,"AAAAAHd/nTA=")</f>
        <v>#REF!</v>
      </c>
      <c r="AX34" t="e">
        <f>AND(#REF!,"AAAAAHd/nTE=")</f>
        <v>#REF!</v>
      </c>
      <c r="AY34" t="e">
        <f>AND(#REF!,"AAAAAHd/nTI=")</f>
        <v>#REF!</v>
      </c>
      <c r="AZ34" t="e">
        <f>AND(#REF!,"AAAAAHd/nTM=")</f>
        <v>#REF!</v>
      </c>
      <c r="BA34" t="e">
        <f>AND(#REF!,"AAAAAHd/nTQ=")</f>
        <v>#REF!</v>
      </c>
      <c r="BB34" t="e">
        <f>AND(#REF!,"AAAAAHd/nTU=")</f>
        <v>#REF!</v>
      </c>
      <c r="BC34" t="e">
        <f>AND(#REF!,"AAAAAHd/nTY=")</f>
        <v>#REF!</v>
      </c>
      <c r="BD34" t="e">
        <f>AND(#REF!,"AAAAAHd/nTc=")</f>
        <v>#REF!</v>
      </c>
      <c r="BE34" t="e">
        <f>AND(#REF!,"AAAAAHd/nTg=")</f>
        <v>#REF!</v>
      </c>
      <c r="BF34" t="e">
        <f>AND(#REF!,"AAAAAHd/nTk=")</f>
        <v>#REF!</v>
      </c>
      <c r="BG34" t="e">
        <f>AND(#REF!,"AAAAAHd/nTo=")</f>
        <v>#REF!</v>
      </c>
      <c r="BH34" t="e">
        <f>AND(#REF!,"AAAAAHd/nTs=")</f>
        <v>#REF!</v>
      </c>
      <c r="BI34" t="e">
        <f>AND(#REF!,"AAAAAHd/nTw=")</f>
        <v>#REF!</v>
      </c>
      <c r="BJ34" t="e">
        <f>AND(#REF!,"AAAAAHd/nT0=")</f>
        <v>#REF!</v>
      </c>
      <c r="BK34" t="e">
        <f>AND(#REF!,"AAAAAHd/nT4=")</f>
        <v>#REF!</v>
      </c>
      <c r="BL34" t="e">
        <f>AND(#REF!,"AAAAAHd/nT8=")</f>
        <v>#REF!</v>
      </c>
      <c r="BM34" t="e">
        <f>AND(#REF!,"AAAAAHd/nUA=")</f>
        <v>#REF!</v>
      </c>
      <c r="BN34" t="e">
        <f>AND(#REF!,"AAAAAHd/nUE=")</f>
        <v>#REF!</v>
      </c>
      <c r="BO34" t="e">
        <f>AND(#REF!,"AAAAAHd/nUI=")</f>
        <v>#REF!</v>
      </c>
      <c r="BP34" t="e">
        <f>AND(#REF!,"AAAAAHd/nUM=")</f>
        <v>#REF!</v>
      </c>
      <c r="BQ34" t="e">
        <f>AND(#REF!,"AAAAAHd/nUQ=")</f>
        <v>#REF!</v>
      </c>
      <c r="BR34" t="e">
        <f>AND(#REF!,"AAAAAHd/nUU=")</f>
        <v>#REF!</v>
      </c>
      <c r="BS34" t="e">
        <f>AND(#REF!,"AAAAAHd/nUY=")</f>
        <v>#REF!</v>
      </c>
      <c r="BT34" t="e">
        <f>AND(#REF!,"AAAAAHd/nUc=")</f>
        <v>#REF!</v>
      </c>
      <c r="BU34" t="e">
        <f>AND(#REF!,"AAAAAHd/nUg=")</f>
        <v>#REF!</v>
      </c>
      <c r="BV34" t="e">
        <f>AND(#REF!,"AAAAAHd/nUk=")</f>
        <v>#REF!</v>
      </c>
      <c r="BW34" t="e">
        <f>AND(#REF!,"AAAAAHd/nUo=")</f>
        <v>#REF!</v>
      </c>
      <c r="BX34" t="e">
        <f>AND(#REF!,"AAAAAHd/nUs=")</f>
        <v>#REF!</v>
      </c>
      <c r="BY34" t="e">
        <f>AND(#REF!,"AAAAAHd/nUw=")</f>
        <v>#REF!</v>
      </c>
      <c r="BZ34" t="e">
        <f>AND(#REF!,"AAAAAHd/nU0=")</f>
        <v>#REF!</v>
      </c>
      <c r="CA34" t="e">
        <f>AND(#REF!,"AAAAAHd/nU4=")</f>
        <v>#REF!</v>
      </c>
      <c r="CB34" t="e">
        <f>AND(#REF!,"AAAAAHd/nU8=")</f>
        <v>#REF!</v>
      </c>
      <c r="CC34" t="e">
        <f>AND(#REF!,"AAAAAHd/nVA=")</f>
        <v>#REF!</v>
      </c>
      <c r="CD34" t="e">
        <f>AND(#REF!,"AAAAAHd/nVE=")</f>
        <v>#REF!</v>
      </c>
      <c r="CE34" t="e">
        <f>AND(#REF!,"AAAAAHd/nVI=")</f>
        <v>#REF!</v>
      </c>
      <c r="CF34" t="e">
        <f>AND(#REF!,"AAAAAHd/nVM=")</f>
        <v>#REF!</v>
      </c>
      <c r="CG34" t="e">
        <f>AND(#REF!,"AAAAAHd/nVQ=")</f>
        <v>#REF!</v>
      </c>
      <c r="CH34" t="e">
        <f>AND(#REF!,"AAAAAHd/nVU=")</f>
        <v>#REF!</v>
      </c>
      <c r="CI34" t="e">
        <f>AND(#REF!,"AAAAAHd/nVY=")</f>
        <v>#REF!</v>
      </c>
      <c r="CJ34" t="e">
        <f>AND(#REF!,"AAAAAHd/nVc=")</f>
        <v>#REF!</v>
      </c>
      <c r="CK34" t="e">
        <f>AND(#REF!,"AAAAAHd/nVg=")</f>
        <v>#REF!</v>
      </c>
      <c r="CL34" t="e">
        <f>AND(#REF!,"AAAAAHd/nVk=")</f>
        <v>#REF!</v>
      </c>
      <c r="CM34" t="e">
        <f>AND(#REF!,"AAAAAHd/nVo=")</f>
        <v>#REF!</v>
      </c>
      <c r="CN34" t="e">
        <f>AND(#REF!,"AAAAAHd/nVs=")</f>
        <v>#REF!</v>
      </c>
      <c r="CO34" t="e">
        <f>AND(#REF!,"AAAAAHd/nVw=")</f>
        <v>#REF!</v>
      </c>
      <c r="CP34" t="e">
        <f>AND(#REF!,"AAAAAHd/nV0=")</f>
        <v>#REF!</v>
      </c>
      <c r="CQ34" t="e">
        <f>AND(#REF!,"AAAAAHd/nV4=")</f>
        <v>#REF!</v>
      </c>
      <c r="CR34" t="e">
        <f>AND(#REF!,"AAAAAHd/nV8=")</f>
        <v>#REF!</v>
      </c>
      <c r="CS34" t="e">
        <f>AND(#REF!,"AAAAAHd/nWA=")</f>
        <v>#REF!</v>
      </c>
      <c r="CT34" t="e">
        <f>AND(#REF!,"AAAAAHd/nWE=")</f>
        <v>#REF!</v>
      </c>
      <c r="CU34" t="e">
        <f>AND(#REF!,"AAAAAHd/nWI=")</f>
        <v>#REF!</v>
      </c>
      <c r="CV34" t="e">
        <f>AND(#REF!,"AAAAAHd/nWM=")</f>
        <v>#REF!</v>
      </c>
      <c r="CW34" t="e">
        <f>AND(#REF!,"AAAAAHd/nWQ=")</f>
        <v>#REF!</v>
      </c>
      <c r="CX34" t="e">
        <f>AND(#REF!,"AAAAAHd/nWU=")</f>
        <v>#REF!</v>
      </c>
      <c r="CY34" t="e">
        <f>AND(#REF!,"AAAAAHd/nWY=")</f>
        <v>#REF!</v>
      </c>
      <c r="CZ34" t="e">
        <f>AND(#REF!,"AAAAAHd/nWc=")</f>
        <v>#REF!</v>
      </c>
      <c r="DA34" t="e">
        <f>AND(#REF!,"AAAAAHd/nWg=")</f>
        <v>#REF!</v>
      </c>
      <c r="DB34" t="e">
        <f>AND(#REF!,"AAAAAHd/nWk=")</f>
        <v>#REF!</v>
      </c>
      <c r="DC34" t="e">
        <f>AND(#REF!,"AAAAAHd/nWo=")</f>
        <v>#REF!</v>
      </c>
      <c r="DD34" t="e">
        <f>AND(#REF!,"AAAAAHd/nWs=")</f>
        <v>#REF!</v>
      </c>
      <c r="DE34" t="e">
        <f>AND(#REF!,"AAAAAHd/nWw=")</f>
        <v>#REF!</v>
      </c>
      <c r="DF34" t="e">
        <f>AND(#REF!,"AAAAAHd/nW0=")</f>
        <v>#REF!</v>
      </c>
      <c r="DG34" t="e">
        <f>AND(#REF!,"AAAAAHd/nW4=")</f>
        <v>#REF!</v>
      </c>
      <c r="DH34" t="e">
        <f>AND(#REF!,"AAAAAHd/nW8=")</f>
        <v>#REF!</v>
      </c>
      <c r="DI34" t="e">
        <f>AND(#REF!,"AAAAAHd/nXA=")</f>
        <v>#REF!</v>
      </c>
      <c r="DJ34" t="e">
        <f>AND(#REF!,"AAAAAHd/nXE=")</f>
        <v>#REF!</v>
      </c>
      <c r="DK34" t="e">
        <f>AND(#REF!,"AAAAAHd/nXI=")</f>
        <v>#REF!</v>
      </c>
      <c r="DL34" t="e">
        <f>AND(#REF!,"AAAAAHd/nXM=")</f>
        <v>#REF!</v>
      </c>
      <c r="DM34" t="e">
        <f>AND(#REF!,"AAAAAHd/nXQ=")</f>
        <v>#REF!</v>
      </c>
      <c r="DN34" t="e">
        <f>AND(#REF!,"AAAAAHd/nXU=")</f>
        <v>#REF!</v>
      </c>
      <c r="DO34" t="e">
        <f>AND(#REF!,"AAAAAHd/nXY=")</f>
        <v>#REF!</v>
      </c>
      <c r="DP34" t="e">
        <f>IF(#REF!,"AAAAAHd/nXc=",0)</f>
        <v>#REF!</v>
      </c>
      <c r="DQ34" t="e">
        <f>AND(#REF!,"AAAAAHd/nXg=")</f>
        <v>#REF!</v>
      </c>
      <c r="DR34" t="e">
        <f>AND(#REF!,"AAAAAHd/nXk=")</f>
        <v>#REF!</v>
      </c>
      <c r="DS34" t="e">
        <f>AND(#REF!,"AAAAAHd/nXo=")</f>
        <v>#REF!</v>
      </c>
      <c r="DT34" t="e">
        <f>AND(#REF!,"AAAAAHd/nXs=")</f>
        <v>#REF!</v>
      </c>
      <c r="DU34" t="e">
        <f>AND(#REF!,"AAAAAHd/nXw=")</f>
        <v>#REF!</v>
      </c>
      <c r="DV34" t="e">
        <f>AND(#REF!,"AAAAAHd/nX0=")</f>
        <v>#REF!</v>
      </c>
      <c r="DW34" t="e">
        <f>AND(#REF!,"AAAAAHd/nX4=")</f>
        <v>#REF!</v>
      </c>
      <c r="DX34" t="e">
        <f>AND(#REF!,"AAAAAHd/nX8=")</f>
        <v>#REF!</v>
      </c>
      <c r="DY34" t="e">
        <f>AND(#REF!,"AAAAAHd/nYA=")</f>
        <v>#REF!</v>
      </c>
      <c r="DZ34" t="e">
        <f>AND(#REF!,"AAAAAHd/nYE=")</f>
        <v>#REF!</v>
      </c>
      <c r="EA34" t="e">
        <f>AND(#REF!,"AAAAAHd/nYI=")</f>
        <v>#REF!</v>
      </c>
      <c r="EB34" t="e">
        <f>AND(#REF!,"AAAAAHd/nYM=")</f>
        <v>#REF!</v>
      </c>
      <c r="EC34" t="e">
        <f>AND(#REF!,"AAAAAHd/nYQ=")</f>
        <v>#REF!</v>
      </c>
      <c r="ED34" t="e">
        <f>AND(#REF!,"AAAAAHd/nYU=")</f>
        <v>#REF!</v>
      </c>
      <c r="EE34" t="e">
        <f>AND(#REF!,"AAAAAHd/nYY=")</f>
        <v>#REF!</v>
      </c>
      <c r="EF34" t="e">
        <f>AND(#REF!,"AAAAAHd/nYc=")</f>
        <v>#REF!</v>
      </c>
      <c r="EG34" t="e">
        <f>AND(#REF!,"AAAAAHd/nYg=")</f>
        <v>#REF!</v>
      </c>
      <c r="EH34" t="e">
        <f>AND(#REF!,"AAAAAHd/nYk=")</f>
        <v>#REF!</v>
      </c>
      <c r="EI34" t="e">
        <f>AND(#REF!,"AAAAAHd/nYo=")</f>
        <v>#REF!</v>
      </c>
      <c r="EJ34" t="e">
        <f>AND(#REF!,"AAAAAHd/nYs=")</f>
        <v>#REF!</v>
      </c>
      <c r="EK34" t="e">
        <f>AND(#REF!,"AAAAAHd/nYw=")</f>
        <v>#REF!</v>
      </c>
      <c r="EL34" t="e">
        <f>AND(#REF!,"AAAAAHd/nY0=")</f>
        <v>#REF!</v>
      </c>
      <c r="EM34" t="e">
        <f>AND(#REF!,"AAAAAHd/nY4=")</f>
        <v>#REF!</v>
      </c>
      <c r="EN34" t="e">
        <f>AND(#REF!,"AAAAAHd/nY8=")</f>
        <v>#REF!</v>
      </c>
      <c r="EO34" t="e">
        <f>AND(#REF!,"AAAAAHd/nZA=")</f>
        <v>#REF!</v>
      </c>
      <c r="EP34" t="e">
        <f>AND(#REF!,"AAAAAHd/nZE=")</f>
        <v>#REF!</v>
      </c>
      <c r="EQ34" t="e">
        <f>AND(#REF!,"AAAAAHd/nZI=")</f>
        <v>#REF!</v>
      </c>
      <c r="ER34" t="e">
        <f>AND(#REF!,"AAAAAHd/nZM=")</f>
        <v>#REF!</v>
      </c>
      <c r="ES34" t="e">
        <f>AND(#REF!,"AAAAAHd/nZQ=")</f>
        <v>#REF!</v>
      </c>
      <c r="ET34" t="e">
        <f>AND(#REF!,"AAAAAHd/nZU=")</f>
        <v>#REF!</v>
      </c>
      <c r="EU34" t="e">
        <f>AND(#REF!,"AAAAAHd/nZY=")</f>
        <v>#REF!</v>
      </c>
      <c r="EV34" t="e">
        <f>AND(#REF!,"AAAAAHd/nZc=")</f>
        <v>#REF!</v>
      </c>
      <c r="EW34" t="e">
        <f>AND(#REF!,"AAAAAHd/nZg=")</f>
        <v>#REF!</v>
      </c>
      <c r="EX34" t="e">
        <f>AND(#REF!,"AAAAAHd/nZk=")</f>
        <v>#REF!</v>
      </c>
      <c r="EY34" t="e">
        <f>AND(#REF!,"AAAAAHd/nZo=")</f>
        <v>#REF!</v>
      </c>
      <c r="EZ34" t="e">
        <f>AND(#REF!,"AAAAAHd/nZs=")</f>
        <v>#REF!</v>
      </c>
      <c r="FA34" t="e">
        <f>AND(#REF!,"AAAAAHd/nZw=")</f>
        <v>#REF!</v>
      </c>
      <c r="FB34" t="e">
        <f>AND(#REF!,"AAAAAHd/nZ0=")</f>
        <v>#REF!</v>
      </c>
      <c r="FC34" t="e">
        <f>AND(#REF!,"AAAAAHd/nZ4=")</f>
        <v>#REF!</v>
      </c>
      <c r="FD34" t="e">
        <f>AND(#REF!,"AAAAAHd/nZ8=")</f>
        <v>#REF!</v>
      </c>
      <c r="FE34" t="e">
        <f>AND(#REF!,"AAAAAHd/naA=")</f>
        <v>#REF!</v>
      </c>
      <c r="FF34" t="e">
        <f>AND(#REF!,"AAAAAHd/naE=")</f>
        <v>#REF!</v>
      </c>
      <c r="FG34" t="e">
        <f>AND(#REF!,"AAAAAHd/naI=")</f>
        <v>#REF!</v>
      </c>
      <c r="FH34" t="e">
        <f>AND(#REF!,"AAAAAHd/naM=")</f>
        <v>#REF!</v>
      </c>
      <c r="FI34" t="e">
        <f>AND(#REF!,"AAAAAHd/naQ=")</f>
        <v>#REF!</v>
      </c>
      <c r="FJ34" t="e">
        <f>AND(#REF!,"AAAAAHd/naU=")</f>
        <v>#REF!</v>
      </c>
      <c r="FK34" t="e">
        <f>AND(#REF!,"AAAAAHd/naY=")</f>
        <v>#REF!</v>
      </c>
      <c r="FL34" t="e">
        <f>AND(#REF!,"AAAAAHd/nac=")</f>
        <v>#REF!</v>
      </c>
      <c r="FM34" t="e">
        <f>AND(#REF!,"AAAAAHd/nag=")</f>
        <v>#REF!</v>
      </c>
      <c r="FN34" t="e">
        <f>AND(#REF!,"AAAAAHd/nak=")</f>
        <v>#REF!</v>
      </c>
      <c r="FO34" t="e">
        <f>AND(#REF!,"AAAAAHd/nao=")</f>
        <v>#REF!</v>
      </c>
      <c r="FP34" t="e">
        <f>AND(#REF!,"AAAAAHd/nas=")</f>
        <v>#REF!</v>
      </c>
      <c r="FQ34" t="e">
        <f>AND(#REF!,"AAAAAHd/naw=")</f>
        <v>#REF!</v>
      </c>
      <c r="FR34" t="e">
        <f>AND(#REF!,"AAAAAHd/na0=")</f>
        <v>#REF!</v>
      </c>
      <c r="FS34" t="e">
        <f>AND(#REF!,"AAAAAHd/na4=")</f>
        <v>#REF!</v>
      </c>
      <c r="FT34" t="e">
        <f>AND(#REF!,"AAAAAHd/na8=")</f>
        <v>#REF!</v>
      </c>
      <c r="FU34" t="e">
        <f>AND(#REF!,"AAAAAHd/nbA=")</f>
        <v>#REF!</v>
      </c>
      <c r="FV34" t="e">
        <f>AND(#REF!,"AAAAAHd/nbE=")</f>
        <v>#REF!</v>
      </c>
      <c r="FW34" t="e">
        <f>AND(#REF!,"AAAAAHd/nbI=")</f>
        <v>#REF!</v>
      </c>
      <c r="FX34" t="e">
        <f>AND(#REF!,"AAAAAHd/nbM=")</f>
        <v>#REF!</v>
      </c>
      <c r="FY34" t="e">
        <f>AND(#REF!,"AAAAAHd/nbQ=")</f>
        <v>#REF!</v>
      </c>
      <c r="FZ34" t="e">
        <f>AND(#REF!,"AAAAAHd/nbU=")</f>
        <v>#REF!</v>
      </c>
      <c r="GA34" t="e">
        <f>AND(#REF!,"AAAAAHd/nbY=")</f>
        <v>#REF!</v>
      </c>
      <c r="GB34" t="e">
        <f>AND(#REF!,"AAAAAHd/nbc=")</f>
        <v>#REF!</v>
      </c>
      <c r="GC34" t="e">
        <f>AND(#REF!,"AAAAAHd/nbg=")</f>
        <v>#REF!</v>
      </c>
      <c r="GD34" t="e">
        <f>AND(#REF!,"AAAAAHd/nbk=")</f>
        <v>#REF!</v>
      </c>
      <c r="GE34" t="e">
        <f>AND(#REF!,"AAAAAHd/nbo=")</f>
        <v>#REF!</v>
      </c>
      <c r="GF34" t="e">
        <f>AND(#REF!,"AAAAAHd/nbs=")</f>
        <v>#REF!</v>
      </c>
      <c r="GG34" t="e">
        <f>AND(#REF!,"AAAAAHd/nbw=")</f>
        <v>#REF!</v>
      </c>
      <c r="GH34" t="e">
        <f>AND(#REF!,"AAAAAHd/nb0=")</f>
        <v>#REF!</v>
      </c>
      <c r="GI34" t="e">
        <f>AND(#REF!,"AAAAAHd/nb4=")</f>
        <v>#REF!</v>
      </c>
      <c r="GJ34" t="e">
        <f>AND(#REF!,"AAAAAHd/nb8=")</f>
        <v>#REF!</v>
      </c>
      <c r="GK34" t="e">
        <f>AND(#REF!,"AAAAAHd/ncA=")</f>
        <v>#REF!</v>
      </c>
      <c r="GL34" t="e">
        <f>AND(#REF!,"AAAAAHd/ncE=")</f>
        <v>#REF!</v>
      </c>
      <c r="GM34" t="e">
        <f>AND(#REF!,"AAAAAHd/ncI=")</f>
        <v>#REF!</v>
      </c>
      <c r="GN34" t="e">
        <f>AND(#REF!,"AAAAAHd/ncM=")</f>
        <v>#REF!</v>
      </c>
      <c r="GO34" t="e">
        <f>AND(#REF!,"AAAAAHd/ncQ=")</f>
        <v>#REF!</v>
      </c>
      <c r="GP34" t="e">
        <f>AND(#REF!,"AAAAAHd/ncU=")</f>
        <v>#REF!</v>
      </c>
      <c r="GQ34" t="e">
        <f>AND(#REF!,"AAAAAHd/ncY=")</f>
        <v>#REF!</v>
      </c>
      <c r="GR34" t="e">
        <f>AND(#REF!,"AAAAAHd/ncc=")</f>
        <v>#REF!</v>
      </c>
      <c r="GS34" t="e">
        <f>AND(#REF!,"AAAAAHd/ncg=")</f>
        <v>#REF!</v>
      </c>
      <c r="GT34" t="e">
        <f>AND(#REF!,"AAAAAHd/nck=")</f>
        <v>#REF!</v>
      </c>
      <c r="GU34" t="e">
        <f>AND(#REF!,"AAAAAHd/nco=")</f>
        <v>#REF!</v>
      </c>
      <c r="GV34" t="e">
        <f>AND(#REF!,"AAAAAHd/ncs=")</f>
        <v>#REF!</v>
      </c>
      <c r="GW34" t="e">
        <f>AND(#REF!,"AAAAAHd/ncw=")</f>
        <v>#REF!</v>
      </c>
      <c r="GX34" t="e">
        <f>AND(#REF!,"AAAAAHd/nc0=")</f>
        <v>#REF!</v>
      </c>
      <c r="GY34" t="e">
        <f>AND(#REF!,"AAAAAHd/nc4=")</f>
        <v>#REF!</v>
      </c>
      <c r="GZ34" t="e">
        <f>AND(#REF!,"AAAAAHd/nc8=")</f>
        <v>#REF!</v>
      </c>
      <c r="HA34" t="e">
        <f>AND(#REF!,"AAAAAHd/ndA=")</f>
        <v>#REF!</v>
      </c>
      <c r="HB34" t="e">
        <f>AND(#REF!,"AAAAAHd/ndE=")</f>
        <v>#REF!</v>
      </c>
      <c r="HC34" t="e">
        <f>AND(#REF!,"AAAAAHd/ndI=")</f>
        <v>#REF!</v>
      </c>
      <c r="HD34" t="e">
        <f>AND(#REF!,"AAAAAHd/ndM=")</f>
        <v>#REF!</v>
      </c>
      <c r="HE34" t="e">
        <f>AND(#REF!,"AAAAAHd/ndQ=")</f>
        <v>#REF!</v>
      </c>
      <c r="HF34" t="e">
        <f>AND(#REF!,"AAAAAHd/ndU=")</f>
        <v>#REF!</v>
      </c>
      <c r="HG34" t="e">
        <f>AND(#REF!,"AAAAAHd/ndY=")</f>
        <v>#REF!</v>
      </c>
      <c r="HH34" t="e">
        <f>AND(#REF!,"AAAAAHd/ndc=")</f>
        <v>#REF!</v>
      </c>
      <c r="HI34" t="e">
        <f>AND(#REF!,"AAAAAHd/ndg=")</f>
        <v>#REF!</v>
      </c>
      <c r="HJ34" t="e">
        <f>AND(#REF!,"AAAAAHd/ndk=")</f>
        <v>#REF!</v>
      </c>
      <c r="HK34" t="e">
        <f>AND(#REF!,"AAAAAHd/ndo=")</f>
        <v>#REF!</v>
      </c>
      <c r="HL34" t="e">
        <f>AND(#REF!,"AAAAAHd/nds=")</f>
        <v>#REF!</v>
      </c>
      <c r="HM34" t="e">
        <f>AND(#REF!,"AAAAAHd/ndw=")</f>
        <v>#REF!</v>
      </c>
      <c r="HN34" t="e">
        <f>AND(#REF!,"AAAAAHd/nd0=")</f>
        <v>#REF!</v>
      </c>
      <c r="HO34" t="e">
        <f>AND(#REF!,"AAAAAHd/nd4=")</f>
        <v>#REF!</v>
      </c>
      <c r="HP34" t="e">
        <f>AND(#REF!,"AAAAAHd/nd8=")</f>
        <v>#REF!</v>
      </c>
      <c r="HQ34" t="e">
        <f>AND(#REF!,"AAAAAHd/neA=")</f>
        <v>#REF!</v>
      </c>
      <c r="HR34" t="e">
        <f>AND(#REF!,"AAAAAHd/neE=")</f>
        <v>#REF!</v>
      </c>
      <c r="HS34" t="e">
        <f>AND(#REF!,"AAAAAHd/neI=")</f>
        <v>#REF!</v>
      </c>
      <c r="HT34" t="e">
        <f>AND(#REF!,"AAAAAHd/neM=")</f>
        <v>#REF!</v>
      </c>
      <c r="HU34" t="e">
        <f>AND(#REF!,"AAAAAHd/neQ=")</f>
        <v>#REF!</v>
      </c>
      <c r="HV34" t="e">
        <f>AND(#REF!,"AAAAAHd/neU=")</f>
        <v>#REF!</v>
      </c>
      <c r="HW34" t="e">
        <f>AND(#REF!,"AAAAAHd/neY=")</f>
        <v>#REF!</v>
      </c>
      <c r="HX34" t="e">
        <f>AND(#REF!,"AAAAAHd/nec=")</f>
        <v>#REF!</v>
      </c>
      <c r="HY34" t="e">
        <f>AND(#REF!,"AAAAAHd/neg=")</f>
        <v>#REF!</v>
      </c>
      <c r="HZ34" t="e">
        <f>AND(#REF!,"AAAAAHd/nek=")</f>
        <v>#REF!</v>
      </c>
      <c r="IA34" t="e">
        <f>AND(#REF!,"AAAAAHd/neo=")</f>
        <v>#REF!</v>
      </c>
      <c r="IB34" t="e">
        <f>AND(#REF!,"AAAAAHd/nes=")</f>
        <v>#REF!</v>
      </c>
      <c r="IC34" t="e">
        <f>AND(#REF!,"AAAAAHd/new=")</f>
        <v>#REF!</v>
      </c>
      <c r="ID34" t="e">
        <f>AND(#REF!,"AAAAAHd/ne0=")</f>
        <v>#REF!</v>
      </c>
      <c r="IE34" t="e">
        <f>AND(#REF!,"AAAAAHd/ne4=")</f>
        <v>#REF!</v>
      </c>
      <c r="IF34" t="e">
        <f>AND(#REF!,"AAAAAHd/ne8=")</f>
        <v>#REF!</v>
      </c>
      <c r="IG34" t="e">
        <f>AND(#REF!,"AAAAAHd/nfA=")</f>
        <v>#REF!</v>
      </c>
      <c r="IH34" t="e">
        <f>AND(#REF!,"AAAAAHd/nfE=")</f>
        <v>#REF!</v>
      </c>
      <c r="II34" t="e">
        <f>AND(#REF!,"AAAAAHd/nfI=")</f>
        <v>#REF!</v>
      </c>
      <c r="IJ34" t="e">
        <f>AND(#REF!,"AAAAAHd/nfM=")</f>
        <v>#REF!</v>
      </c>
      <c r="IK34" t="e">
        <f>AND(#REF!,"AAAAAHd/nfQ=")</f>
        <v>#REF!</v>
      </c>
      <c r="IL34" t="e">
        <f>AND(#REF!,"AAAAAHd/nfU=")</f>
        <v>#REF!</v>
      </c>
      <c r="IM34" t="e">
        <f>AND(#REF!,"AAAAAHd/nfY=")</f>
        <v>#REF!</v>
      </c>
      <c r="IN34" t="e">
        <f>AND(#REF!,"AAAAAHd/nfc=")</f>
        <v>#REF!</v>
      </c>
      <c r="IO34" t="e">
        <f>AND(#REF!,"AAAAAHd/nfg=")</f>
        <v>#REF!</v>
      </c>
      <c r="IP34" t="e">
        <f>AND(#REF!,"AAAAAHd/nfk=")</f>
        <v>#REF!</v>
      </c>
      <c r="IQ34" t="e">
        <f>AND(#REF!,"AAAAAHd/nfo=")</f>
        <v>#REF!</v>
      </c>
      <c r="IR34" t="e">
        <f>AND(#REF!,"AAAAAHd/nfs=")</f>
        <v>#REF!</v>
      </c>
      <c r="IS34" t="e">
        <f>AND(#REF!,"AAAAAHd/nfw=")</f>
        <v>#REF!</v>
      </c>
      <c r="IT34" t="e">
        <f>AND(#REF!,"AAAAAHd/nf0=")</f>
        <v>#REF!</v>
      </c>
      <c r="IU34" t="e">
        <f>AND(#REF!,"AAAAAHd/nf4=")</f>
        <v>#REF!</v>
      </c>
      <c r="IV34" t="e">
        <f>IF(#REF!,"AAAAAHd/nf8=",0)</f>
        <v>#REF!</v>
      </c>
    </row>
    <row r="35" spans="1:256" ht="15">
      <c r="A35" t="e">
        <f>AND(#REF!,"AAAAAH/9nQA=")</f>
        <v>#REF!</v>
      </c>
      <c r="B35" t="e">
        <f>AND(#REF!,"AAAAAH/9nQE=")</f>
        <v>#REF!</v>
      </c>
      <c r="C35" t="e">
        <f>AND(#REF!,"AAAAAH/9nQI=")</f>
        <v>#REF!</v>
      </c>
      <c r="D35" t="e">
        <f>AND(#REF!,"AAAAAH/9nQM=")</f>
        <v>#REF!</v>
      </c>
      <c r="E35" t="e">
        <f>AND(#REF!,"AAAAAH/9nQQ=")</f>
        <v>#REF!</v>
      </c>
      <c r="F35" t="e">
        <f>AND(#REF!,"AAAAAH/9nQU=")</f>
        <v>#REF!</v>
      </c>
      <c r="G35" t="e">
        <f>AND(#REF!,"AAAAAH/9nQY=")</f>
        <v>#REF!</v>
      </c>
      <c r="H35" t="e">
        <f>AND(#REF!,"AAAAAH/9nQc=")</f>
        <v>#REF!</v>
      </c>
      <c r="I35" t="e">
        <f>AND(#REF!,"AAAAAH/9nQg=")</f>
        <v>#REF!</v>
      </c>
      <c r="J35" t="e">
        <f>AND(#REF!,"AAAAAH/9nQk=")</f>
        <v>#REF!</v>
      </c>
      <c r="K35" t="e">
        <f>AND(#REF!,"AAAAAH/9nQo=")</f>
        <v>#REF!</v>
      </c>
      <c r="L35" t="e">
        <f>AND(#REF!,"AAAAAH/9nQs=")</f>
        <v>#REF!</v>
      </c>
      <c r="M35" t="e">
        <f>AND(#REF!,"AAAAAH/9nQw=")</f>
        <v>#REF!</v>
      </c>
      <c r="N35" t="e">
        <f>AND(#REF!,"AAAAAH/9nQ0=")</f>
        <v>#REF!</v>
      </c>
      <c r="O35" t="e">
        <f>AND(#REF!,"AAAAAH/9nQ4=")</f>
        <v>#REF!</v>
      </c>
      <c r="P35" t="e">
        <f>AND(#REF!,"AAAAAH/9nQ8=")</f>
        <v>#REF!</v>
      </c>
      <c r="Q35" t="e">
        <f>AND(#REF!,"AAAAAH/9nRA=")</f>
        <v>#REF!</v>
      </c>
      <c r="R35" t="e">
        <f>AND(#REF!,"AAAAAH/9nRE=")</f>
        <v>#REF!</v>
      </c>
      <c r="S35" t="e">
        <f>AND(#REF!,"AAAAAH/9nRI=")</f>
        <v>#REF!</v>
      </c>
      <c r="T35" t="e">
        <f>AND(#REF!,"AAAAAH/9nRM=")</f>
        <v>#REF!</v>
      </c>
      <c r="U35" t="e">
        <f>AND(#REF!,"AAAAAH/9nRQ=")</f>
        <v>#REF!</v>
      </c>
      <c r="V35" t="e">
        <f>AND(#REF!,"AAAAAH/9nRU=")</f>
        <v>#REF!</v>
      </c>
      <c r="W35" t="e">
        <f>AND(#REF!,"AAAAAH/9nRY=")</f>
        <v>#REF!</v>
      </c>
      <c r="X35" t="e">
        <f>AND(#REF!,"AAAAAH/9nRc=")</f>
        <v>#REF!</v>
      </c>
      <c r="Y35" t="e">
        <f>AND(#REF!,"AAAAAH/9nRg=")</f>
        <v>#REF!</v>
      </c>
      <c r="Z35" t="e">
        <f>AND(#REF!,"AAAAAH/9nRk=")</f>
        <v>#REF!</v>
      </c>
      <c r="AA35" t="e">
        <f>AND(#REF!,"AAAAAH/9nRo=")</f>
        <v>#REF!</v>
      </c>
      <c r="AB35" t="e">
        <f>AND(#REF!,"AAAAAH/9nRs=")</f>
        <v>#REF!</v>
      </c>
      <c r="AC35" t="e">
        <f>AND(#REF!,"AAAAAH/9nRw=")</f>
        <v>#REF!</v>
      </c>
      <c r="AD35" t="e">
        <f>AND(#REF!,"AAAAAH/9nR0=")</f>
        <v>#REF!</v>
      </c>
      <c r="AE35" t="e">
        <f>AND(#REF!,"AAAAAH/9nR4=")</f>
        <v>#REF!</v>
      </c>
      <c r="AF35" t="e">
        <f>AND(#REF!,"AAAAAH/9nR8=")</f>
        <v>#REF!</v>
      </c>
      <c r="AG35" t="e">
        <f>AND(#REF!,"AAAAAH/9nSA=")</f>
        <v>#REF!</v>
      </c>
      <c r="AH35" t="e">
        <f>AND(#REF!,"AAAAAH/9nSE=")</f>
        <v>#REF!</v>
      </c>
      <c r="AI35" t="e">
        <f>AND(#REF!,"AAAAAH/9nSI=")</f>
        <v>#REF!</v>
      </c>
      <c r="AJ35" t="e">
        <f>AND(#REF!,"AAAAAH/9nSM=")</f>
        <v>#REF!</v>
      </c>
      <c r="AK35" t="e">
        <f>AND(#REF!,"AAAAAH/9nSQ=")</f>
        <v>#REF!</v>
      </c>
      <c r="AL35" t="e">
        <f>AND(#REF!,"AAAAAH/9nSU=")</f>
        <v>#REF!</v>
      </c>
      <c r="AM35" t="e">
        <f>AND(#REF!,"AAAAAH/9nSY=")</f>
        <v>#REF!</v>
      </c>
      <c r="AN35" t="e">
        <f>AND(#REF!,"AAAAAH/9nSc=")</f>
        <v>#REF!</v>
      </c>
      <c r="AO35" t="e">
        <f>AND(#REF!,"AAAAAH/9nSg=")</f>
        <v>#REF!</v>
      </c>
      <c r="AP35" t="e">
        <f>AND(#REF!,"AAAAAH/9nSk=")</f>
        <v>#REF!</v>
      </c>
      <c r="AQ35" t="e">
        <f>AND(#REF!,"AAAAAH/9nSo=")</f>
        <v>#REF!</v>
      </c>
      <c r="AR35" t="e">
        <f>AND(#REF!,"AAAAAH/9nSs=")</f>
        <v>#REF!</v>
      </c>
      <c r="AS35" t="e">
        <f>AND(#REF!,"AAAAAH/9nSw=")</f>
        <v>#REF!</v>
      </c>
      <c r="AT35" t="e">
        <f>AND(#REF!,"AAAAAH/9nS0=")</f>
        <v>#REF!</v>
      </c>
      <c r="AU35" t="e">
        <f>AND(#REF!,"AAAAAH/9nS4=")</f>
        <v>#REF!</v>
      </c>
      <c r="AV35" t="e">
        <f>AND(#REF!,"AAAAAH/9nS8=")</f>
        <v>#REF!</v>
      </c>
      <c r="AW35" t="e">
        <f>AND(#REF!,"AAAAAH/9nTA=")</f>
        <v>#REF!</v>
      </c>
      <c r="AX35" t="e">
        <f>AND(#REF!,"AAAAAH/9nTE=")</f>
        <v>#REF!</v>
      </c>
      <c r="AY35" t="e">
        <f>AND(#REF!,"AAAAAH/9nTI=")</f>
        <v>#REF!</v>
      </c>
      <c r="AZ35" t="e">
        <f>AND(#REF!,"AAAAAH/9nTM=")</f>
        <v>#REF!</v>
      </c>
      <c r="BA35" t="e">
        <f>AND(#REF!,"AAAAAH/9nTQ=")</f>
        <v>#REF!</v>
      </c>
      <c r="BB35" t="e">
        <f>AND(#REF!,"AAAAAH/9nTU=")</f>
        <v>#REF!</v>
      </c>
      <c r="BC35" t="e">
        <f>AND(#REF!,"AAAAAH/9nTY=")</f>
        <v>#REF!</v>
      </c>
      <c r="BD35" t="e">
        <f>AND(#REF!,"AAAAAH/9nTc=")</f>
        <v>#REF!</v>
      </c>
      <c r="BE35" t="e">
        <f>AND(#REF!,"AAAAAH/9nTg=")</f>
        <v>#REF!</v>
      </c>
      <c r="BF35" t="e">
        <f>AND(#REF!,"AAAAAH/9nTk=")</f>
        <v>#REF!</v>
      </c>
      <c r="BG35" t="e">
        <f>AND(#REF!,"AAAAAH/9nTo=")</f>
        <v>#REF!</v>
      </c>
      <c r="BH35" t="e">
        <f>AND(#REF!,"AAAAAH/9nTs=")</f>
        <v>#REF!</v>
      </c>
      <c r="BI35" t="e">
        <f>AND(#REF!,"AAAAAH/9nTw=")</f>
        <v>#REF!</v>
      </c>
      <c r="BJ35" t="e">
        <f>AND(#REF!,"AAAAAH/9nT0=")</f>
        <v>#REF!</v>
      </c>
      <c r="BK35" t="e">
        <f>AND(#REF!,"AAAAAH/9nT4=")</f>
        <v>#REF!</v>
      </c>
      <c r="BL35" t="e">
        <f>AND(#REF!,"AAAAAH/9nT8=")</f>
        <v>#REF!</v>
      </c>
      <c r="BM35" t="e">
        <f>AND(#REF!,"AAAAAH/9nUA=")</f>
        <v>#REF!</v>
      </c>
      <c r="BN35" t="e">
        <f>AND(#REF!,"AAAAAH/9nUE=")</f>
        <v>#REF!</v>
      </c>
      <c r="BO35" t="e">
        <f>AND(#REF!,"AAAAAH/9nUI=")</f>
        <v>#REF!</v>
      </c>
      <c r="BP35" t="e">
        <f>AND(#REF!,"AAAAAH/9nUM=")</f>
        <v>#REF!</v>
      </c>
      <c r="BQ35" t="e">
        <f>AND(#REF!,"AAAAAH/9nUQ=")</f>
        <v>#REF!</v>
      </c>
      <c r="BR35" t="e">
        <f>AND(#REF!,"AAAAAH/9nUU=")</f>
        <v>#REF!</v>
      </c>
      <c r="BS35" t="e">
        <f>AND(#REF!,"AAAAAH/9nUY=")</f>
        <v>#REF!</v>
      </c>
      <c r="BT35" t="e">
        <f>AND(#REF!,"AAAAAH/9nUc=")</f>
        <v>#REF!</v>
      </c>
      <c r="BU35" t="e">
        <f>AND(#REF!,"AAAAAH/9nUg=")</f>
        <v>#REF!</v>
      </c>
      <c r="BV35" t="e">
        <f>AND(#REF!,"AAAAAH/9nUk=")</f>
        <v>#REF!</v>
      </c>
      <c r="BW35" t="e">
        <f>AND(#REF!,"AAAAAH/9nUo=")</f>
        <v>#REF!</v>
      </c>
      <c r="BX35" t="e">
        <f>AND(#REF!,"AAAAAH/9nUs=")</f>
        <v>#REF!</v>
      </c>
      <c r="BY35" t="e">
        <f>AND(#REF!,"AAAAAH/9nUw=")</f>
        <v>#REF!</v>
      </c>
      <c r="BZ35" t="e">
        <f>AND(#REF!,"AAAAAH/9nU0=")</f>
        <v>#REF!</v>
      </c>
      <c r="CA35" t="e">
        <f>AND(#REF!,"AAAAAH/9nU4=")</f>
        <v>#REF!</v>
      </c>
      <c r="CB35" t="e">
        <f>AND(#REF!,"AAAAAH/9nU8=")</f>
        <v>#REF!</v>
      </c>
      <c r="CC35" t="e">
        <f>AND(#REF!,"AAAAAH/9nVA=")</f>
        <v>#REF!</v>
      </c>
      <c r="CD35" t="e">
        <f>AND(#REF!,"AAAAAH/9nVE=")</f>
        <v>#REF!</v>
      </c>
      <c r="CE35" t="e">
        <f>AND(#REF!,"AAAAAH/9nVI=")</f>
        <v>#REF!</v>
      </c>
      <c r="CF35" t="e">
        <f>AND(#REF!,"AAAAAH/9nVM=")</f>
        <v>#REF!</v>
      </c>
      <c r="CG35" t="e">
        <f>AND(#REF!,"AAAAAH/9nVQ=")</f>
        <v>#REF!</v>
      </c>
      <c r="CH35" t="e">
        <f>AND(#REF!,"AAAAAH/9nVU=")</f>
        <v>#REF!</v>
      </c>
      <c r="CI35" t="e">
        <f>AND(#REF!,"AAAAAH/9nVY=")</f>
        <v>#REF!</v>
      </c>
      <c r="CJ35" t="e">
        <f>AND(#REF!,"AAAAAH/9nVc=")</f>
        <v>#REF!</v>
      </c>
      <c r="CK35" t="e">
        <f>AND(#REF!,"AAAAAH/9nVg=")</f>
        <v>#REF!</v>
      </c>
      <c r="CL35" t="e">
        <f>AND(#REF!,"AAAAAH/9nVk=")</f>
        <v>#REF!</v>
      </c>
      <c r="CM35" t="e">
        <f>AND(#REF!,"AAAAAH/9nVo=")</f>
        <v>#REF!</v>
      </c>
      <c r="CN35" t="e">
        <f>AND(#REF!,"AAAAAH/9nVs=")</f>
        <v>#REF!</v>
      </c>
      <c r="CO35" t="e">
        <f>AND(#REF!,"AAAAAH/9nVw=")</f>
        <v>#REF!</v>
      </c>
      <c r="CP35" t="e">
        <f>AND(#REF!,"AAAAAH/9nV0=")</f>
        <v>#REF!</v>
      </c>
      <c r="CQ35" t="e">
        <f>AND(#REF!,"AAAAAH/9nV4=")</f>
        <v>#REF!</v>
      </c>
      <c r="CR35" t="e">
        <f>AND(#REF!,"AAAAAH/9nV8=")</f>
        <v>#REF!</v>
      </c>
      <c r="CS35" t="e">
        <f>AND(#REF!,"AAAAAH/9nWA=")</f>
        <v>#REF!</v>
      </c>
      <c r="CT35" t="e">
        <f>AND(#REF!,"AAAAAH/9nWE=")</f>
        <v>#REF!</v>
      </c>
      <c r="CU35" t="e">
        <f>AND(#REF!,"AAAAAH/9nWI=")</f>
        <v>#REF!</v>
      </c>
      <c r="CV35" t="e">
        <f>AND(#REF!,"AAAAAH/9nWM=")</f>
        <v>#REF!</v>
      </c>
      <c r="CW35" t="e">
        <f>AND(#REF!,"AAAAAH/9nWQ=")</f>
        <v>#REF!</v>
      </c>
      <c r="CX35" t="e">
        <f>AND(#REF!,"AAAAAH/9nWU=")</f>
        <v>#REF!</v>
      </c>
      <c r="CY35" t="e">
        <f>AND(#REF!,"AAAAAH/9nWY=")</f>
        <v>#REF!</v>
      </c>
      <c r="CZ35" t="e">
        <f>AND(#REF!,"AAAAAH/9nWc=")</f>
        <v>#REF!</v>
      </c>
      <c r="DA35" t="e">
        <f>AND(#REF!,"AAAAAH/9nWg=")</f>
        <v>#REF!</v>
      </c>
      <c r="DB35" t="e">
        <f>AND(#REF!,"AAAAAH/9nWk=")</f>
        <v>#REF!</v>
      </c>
      <c r="DC35" t="e">
        <f>AND(#REF!,"AAAAAH/9nWo=")</f>
        <v>#REF!</v>
      </c>
      <c r="DD35" t="e">
        <f>AND(#REF!,"AAAAAH/9nWs=")</f>
        <v>#REF!</v>
      </c>
      <c r="DE35" t="e">
        <f>AND(#REF!,"AAAAAH/9nWw=")</f>
        <v>#REF!</v>
      </c>
      <c r="DF35" t="e">
        <f>AND(#REF!,"AAAAAH/9nW0=")</f>
        <v>#REF!</v>
      </c>
      <c r="DG35" t="e">
        <f>AND(#REF!,"AAAAAH/9nW4=")</f>
        <v>#REF!</v>
      </c>
      <c r="DH35" t="e">
        <f>AND(#REF!,"AAAAAH/9nW8=")</f>
        <v>#REF!</v>
      </c>
      <c r="DI35" t="e">
        <f>AND(#REF!,"AAAAAH/9nXA=")</f>
        <v>#REF!</v>
      </c>
      <c r="DJ35" t="e">
        <f>AND(#REF!,"AAAAAH/9nXE=")</f>
        <v>#REF!</v>
      </c>
      <c r="DK35" t="e">
        <f>AND(#REF!,"AAAAAH/9nXI=")</f>
        <v>#REF!</v>
      </c>
      <c r="DL35" t="e">
        <f>AND(#REF!,"AAAAAH/9nXM=")</f>
        <v>#REF!</v>
      </c>
      <c r="DM35" t="e">
        <f>AND(#REF!,"AAAAAH/9nXQ=")</f>
        <v>#REF!</v>
      </c>
      <c r="DN35" t="e">
        <f>AND(#REF!,"AAAAAH/9nXU=")</f>
        <v>#REF!</v>
      </c>
      <c r="DO35" t="e">
        <f>AND(#REF!,"AAAAAH/9nXY=")</f>
        <v>#REF!</v>
      </c>
      <c r="DP35" t="e">
        <f>AND(#REF!,"AAAAAH/9nXc=")</f>
        <v>#REF!</v>
      </c>
      <c r="DQ35" t="e">
        <f>AND(#REF!,"AAAAAH/9nXg=")</f>
        <v>#REF!</v>
      </c>
      <c r="DR35" t="e">
        <f>AND(#REF!,"AAAAAH/9nXk=")</f>
        <v>#REF!</v>
      </c>
      <c r="DS35" t="e">
        <f>AND(#REF!,"AAAAAH/9nXo=")</f>
        <v>#REF!</v>
      </c>
      <c r="DT35" t="e">
        <f>AND(#REF!,"AAAAAH/9nXs=")</f>
        <v>#REF!</v>
      </c>
      <c r="DU35" t="e">
        <f>AND(#REF!,"AAAAAH/9nXw=")</f>
        <v>#REF!</v>
      </c>
      <c r="DV35" t="e">
        <f>AND(#REF!,"AAAAAH/9nX0=")</f>
        <v>#REF!</v>
      </c>
      <c r="DW35" t="e">
        <f>AND(#REF!,"AAAAAH/9nX4=")</f>
        <v>#REF!</v>
      </c>
      <c r="DX35" t="e">
        <f>AND(#REF!,"AAAAAH/9nX8=")</f>
        <v>#REF!</v>
      </c>
      <c r="DY35" t="e">
        <f>AND(#REF!,"AAAAAH/9nYA=")</f>
        <v>#REF!</v>
      </c>
      <c r="DZ35" t="e">
        <f>AND(#REF!,"AAAAAH/9nYE=")</f>
        <v>#REF!</v>
      </c>
      <c r="EA35" t="e">
        <f>AND(#REF!,"AAAAAH/9nYI=")</f>
        <v>#REF!</v>
      </c>
      <c r="EB35" t="e">
        <f>AND(#REF!,"AAAAAH/9nYM=")</f>
        <v>#REF!</v>
      </c>
      <c r="EC35" t="e">
        <f>AND(#REF!,"AAAAAH/9nYQ=")</f>
        <v>#REF!</v>
      </c>
      <c r="ED35" t="e">
        <f>AND(#REF!,"AAAAAH/9nYU=")</f>
        <v>#REF!</v>
      </c>
      <c r="EE35" t="e">
        <f>AND(#REF!,"AAAAAH/9nYY=")</f>
        <v>#REF!</v>
      </c>
      <c r="EF35" t="e">
        <f>IF(#REF!,"AAAAAH/9nYc=",0)</f>
        <v>#REF!</v>
      </c>
      <c r="EG35" t="e">
        <f>AND(#REF!,"AAAAAH/9nYg=")</f>
        <v>#REF!</v>
      </c>
      <c r="EH35" t="e">
        <f>AND(#REF!,"AAAAAH/9nYk=")</f>
        <v>#REF!</v>
      </c>
      <c r="EI35" t="e">
        <f>AND(#REF!,"AAAAAH/9nYo=")</f>
        <v>#REF!</v>
      </c>
      <c r="EJ35" t="e">
        <f>AND(#REF!,"AAAAAH/9nYs=")</f>
        <v>#REF!</v>
      </c>
      <c r="EK35" t="e">
        <f>AND(#REF!,"AAAAAH/9nYw=")</f>
        <v>#REF!</v>
      </c>
      <c r="EL35" t="e">
        <f>AND(#REF!,"AAAAAH/9nY0=")</f>
        <v>#REF!</v>
      </c>
      <c r="EM35" t="e">
        <f>AND(#REF!,"AAAAAH/9nY4=")</f>
        <v>#REF!</v>
      </c>
      <c r="EN35" t="e">
        <f>AND(#REF!,"AAAAAH/9nY8=")</f>
        <v>#REF!</v>
      </c>
      <c r="EO35" t="e">
        <f>AND(#REF!,"AAAAAH/9nZA=")</f>
        <v>#REF!</v>
      </c>
      <c r="EP35" t="e">
        <f>AND(#REF!,"AAAAAH/9nZE=")</f>
        <v>#REF!</v>
      </c>
      <c r="EQ35" t="e">
        <f>AND(#REF!,"AAAAAH/9nZI=")</f>
        <v>#REF!</v>
      </c>
      <c r="ER35" t="e">
        <f>AND(#REF!,"AAAAAH/9nZM=")</f>
        <v>#REF!</v>
      </c>
      <c r="ES35" t="e">
        <f>AND(#REF!,"AAAAAH/9nZQ=")</f>
        <v>#REF!</v>
      </c>
      <c r="ET35" t="e">
        <f>AND(#REF!,"AAAAAH/9nZU=")</f>
        <v>#REF!</v>
      </c>
      <c r="EU35" t="e">
        <f>AND(#REF!,"AAAAAH/9nZY=")</f>
        <v>#REF!</v>
      </c>
      <c r="EV35" t="e">
        <f>AND(#REF!,"AAAAAH/9nZc=")</f>
        <v>#REF!</v>
      </c>
      <c r="EW35" t="e">
        <f>AND(#REF!,"AAAAAH/9nZg=")</f>
        <v>#REF!</v>
      </c>
      <c r="EX35" t="e">
        <f>AND(#REF!,"AAAAAH/9nZk=")</f>
        <v>#REF!</v>
      </c>
      <c r="EY35" t="e">
        <f>AND(#REF!,"AAAAAH/9nZo=")</f>
        <v>#REF!</v>
      </c>
      <c r="EZ35" t="e">
        <f>AND(#REF!,"AAAAAH/9nZs=")</f>
        <v>#REF!</v>
      </c>
      <c r="FA35" t="e">
        <f>AND(#REF!,"AAAAAH/9nZw=")</f>
        <v>#REF!</v>
      </c>
      <c r="FB35" t="e">
        <f>AND(#REF!,"AAAAAH/9nZ0=")</f>
        <v>#REF!</v>
      </c>
      <c r="FC35" t="e">
        <f>AND(#REF!,"AAAAAH/9nZ4=")</f>
        <v>#REF!</v>
      </c>
      <c r="FD35" t="e">
        <f>AND(#REF!,"AAAAAH/9nZ8=")</f>
        <v>#REF!</v>
      </c>
      <c r="FE35" t="e">
        <f>AND(#REF!,"AAAAAH/9naA=")</f>
        <v>#REF!</v>
      </c>
      <c r="FF35" t="e">
        <f>AND(#REF!,"AAAAAH/9naE=")</f>
        <v>#REF!</v>
      </c>
      <c r="FG35" t="e">
        <f>AND(#REF!,"AAAAAH/9naI=")</f>
        <v>#REF!</v>
      </c>
      <c r="FH35" t="e">
        <f>AND(#REF!,"AAAAAH/9naM=")</f>
        <v>#REF!</v>
      </c>
      <c r="FI35" t="e">
        <f>AND(#REF!,"AAAAAH/9naQ=")</f>
        <v>#REF!</v>
      </c>
      <c r="FJ35" t="e">
        <f>AND(#REF!,"AAAAAH/9naU=")</f>
        <v>#REF!</v>
      </c>
      <c r="FK35" t="e">
        <f>AND(#REF!,"AAAAAH/9naY=")</f>
        <v>#REF!</v>
      </c>
      <c r="FL35" t="e">
        <f>AND(#REF!,"AAAAAH/9nac=")</f>
        <v>#REF!</v>
      </c>
      <c r="FM35" t="e">
        <f>AND(#REF!,"AAAAAH/9nag=")</f>
        <v>#REF!</v>
      </c>
      <c r="FN35" t="e">
        <f>AND(#REF!,"AAAAAH/9nak=")</f>
        <v>#REF!</v>
      </c>
      <c r="FO35" t="e">
        <f>AND(#REF!,"AAAAAH/9nao=")</f>
        <v>#REF!</v>
      </c>
      <c r="FP35" t="e">
        <f>AND(#REF!,"AAAAAH/9nas=")</f>
        <v>#REF!</v>
      </c>
      <c r="FQ35" t="e">
        <f>AND(#REF!,"AAAAAH/9naw=")</f>
        <v>#REF!</v>
      </c>
      <c r="FR35" t="e">
        <f>AND(#REF!,"AAAAAH/9na0=")</f>
        <v>#REF!</v>
      </c>
      <c r="FS35" t="e">
        <f>AND(#REF!,"AAAAAH/9na4=")</f>
        <v>#REF!</v>
      </c>
      <c r="FT35" t="e">
        <f>AND(#REF!,"AAAAAH/9na8=")</f>
        <v>#REF!</v>
      </c>
      <c r="FU35" t="e">
        <f>AND(#REF!,"AAAAAH/9nbA=")</f>
        <v>#REF!</v>
      </c>
      <c r="FV35" t="e">
        <f>AND(#REF!,"AAAAAH/9nbE=")</f>
        <v>#REF!</v>
      </c>
      <c r="FW35" t="e">
        <f>AND(#REF!,"AAAAAH/9nbI=")</f>
        <v>#REF!</v>
      </c>
      <c r="FX35" t="e">
        <f>AND(#REF!,"AAAAAH/9nbM=")</f>
        <v>#REF!</v>
      </c>
      <c r="FY35" t="e">
        <f>AND(#REF!,"AAAAAH/9nbQ=")</f>
        <v>#REF!</v>
      </c>
      <c r="FZ35" t="e">
        <f>AND(#REF!,"AAAAAH/9nbU=")</f>
        <v>#REF!</v>
      </c>
      <c r="GA35" t="e">
        <f>AND(#REF!,"AAAAAH/9nbY=")</f>
        <v>#REF!</v>
      </c>
      <c r="GB35" t="e">
        <f>AND(#REF!,"AAAAAH/9nbc=")</f>
        <v>#REF!</v>
      </c>
      <c r="GC35" t="e">
        <f>AND(#REF!,"AAAAAH/9nbg=")</f>
        <v>#REF!</v>
      </c>
      <c r="GD35" t="e">
        <f>AND(#REF!,"AAAAAH/9nbk=")</f>
        <v>#REF!</v>
      </c>
      <c r="GE35" t="e">
        <f>AND(#REF!,"AAAAAH/9nbo=")</f>
        <v>#REF!</v>
      </c>
      <c r="GF35" t="e">
        <f>AND(#REF!,"AAAAAH/9nbs=")</f>
        <v>#REF!</v>
      </c>
      <c r="GG35" t="e">
        <f>AND(#REF!,"AAAAAH/9nbw=")</f>
        <v>#REF!</v>
      </c>
      <c r="GH35" t="e">
        <f>AND(#REF!,"AAAAAH/9nb0=")</f>
        <v>#REF!</v>
      </c>
      <c r="GI35" t="e">
        <f>AND(#REF!,"AAAAAH/9nb4=")</f>
        <v>#REF!</v>
      </c>
      <c r="GJ35" t="e">
        <f>AND(#REF!,"AAAAAH/9nb8=")</f>
        <v>#REF!</v>
      </c>
      <c r="GK35" t="e">
        <f>AND(#REF!,"AAAAAH/9ncA=")</f>
        <v>#REF!</v>
      </c>
      <c r="GL35" t="e">
        <f>AND(#REF!,"AAAAAH/9ncE=")</f>
        <v>#REF!</v>
      </c>
      <c r="GM35" t="e">
        <f>AND(#REF!,"AAAAAH/9ncI=")</f>
        <v>#REF!</v>
      </c>
      <c r="GN35" t="e">
        <f>AND(#REF!,"AAAAAH/9ncM=")</f>
        <v>#REF!</v>
      </c>
      <c r="GO35" t="e">
        <f>AND(#REF!,"AAAAAH/9ncQ=")</f>
        <v>#REF!</v>
      </c>
      <c r="GP35" t="e">
        <f>AND(#REF!,"AAAAAH/9ncU=")</f>
        <v>#REF!</v>
      </c>
      <c r="GQ35" t="e">
        <f>AND(#REF!,"AAAAAH/9ncY=")</f>
        <v>#REF!</v>
      </c>
      <c r="GR35" t="e">
        <f>AND(#REF!,"AAAAAH/9ncc=")</f>
        <v>#REF!</v>
      </c>
      <c r="GS35" t="e">
        <f>AND(#REF!,"AAAAAH/9ncg=")</f>
        <v>#REF!</v>
      </c>
      <c r="GT35" t="e">
        <f>AND(#REF!,"AAAAAH/9nck=")</f>
        <v>#REF!</v>
      </c>
      <c r="GU35" t="e">
        <f>AND(#REF!,"AAAAAH/9nco=")</f>
        <v>#REF!</v>
      </c>
      <c r="GV35" t="e">
        <f>AND(#REF!,"AAAAAH/9ncs=")</f>
        <v>#REF!</v>
      </c>
      <c r="GW35" t="e">
        <f>AND(#REF!,"AAAAAH/9ncw=")</f>
        <v>#REF!</v>
      </c>
      <c r="GX35" t="e">
        <f>AND(#REF!,"AAAAAH/9nc0=")</f>
        <v>#REF!</v>
      </c>
      <c r="GY35" t="e">
        <f>AND(#REF!,"AAAAAH/9nc4=")</f>
        <v>#REF!</v>
      </c>
      <c r="GZ35" t="e">
        <f>AND(#REF!,"AAAAAH/9nc8=")</f>
        <v>#REF!</v>
      </c>
      <c r="HA35" t="e">
        <f>AND(#REF!,"AAAAAH/9ndA=")</f>
        <v>#REF!</v>
      </c>
      <c r="HB35" t="e">
        <f>AND(#REF!,"AAAAAH/9ndE=")</f>
        <v>#REF!</v>
      </c>
      <c r="HC35" t="e">
        <f>AND(#REF!,"AAAAAH/9ndI=")</f>
        <v>#REF!</v>
      </c>
      <c r="HD35" t="e">
        <f>AND(#REF!,"AAAAAH/9ndM=")</f>
        <v>#REF!</v>
      </c>
      <c r="HE35" t="e">
        <f>AND(#REF!,"AAAAAH/9ndQ=")</f>
        <v>#REF!</v>
      </c>
      <c r="HF35" t="e">
        <f>AND(#REF!,"AAAAAH/9ndU=")</f>
        <v>#REF!</v>
      </c>
      <c r="HG35" t="e">
        <f>AND(#REF!,"AAAAAH/9ndY=")</f>
        <v>#REF!</v>
      </c>
      <c r="HH35" t="e">
        <f>AND(#REF!,"AAAAAH/9ndc=")</f>
        <v>#REF!</v>
      </c>
      <c r="HI35" t="e">
        <f>AND(#REF!,"AAAAAH/9ndg=")</f>
        <v>#REF!</v>
      </c>
      <c r="HJ35" t="e">
        <f>AND(#REF!,"AAAAAH/9ndk=")</f>
        <v>#REF!</v>
      </c>
      <c r="HK35" t="e">
        <f>AND(#REF!,"AAAAAH/9ndo=")</f>
        <v>#REF!</v>
      </c>
      <c r="HL35" t="e">
        <f>AND(#REF!,"AAAAAH/9nds=")</f>
        <v>#REF!</v>
      </c>
      <c r="HM35" t="e">
        <f>AND(#REF!,"AAAAAH/9ndw=")</f>
        <v>#REF!</v>
      </c>
      <c r="HN35" t="e">
        <f>AND(#REF!,"AAAAAH/9nd0=")</f>
        <v>#REF!</v>
      </c>
      <c r="HO35" t="e">
        <f>AND(#REF!,"AAAAAH/9nd4=")</f>
        <v>#REF!</v>
      </c>
      <c r="HP35" t="e">
        <f>AND(#REF!,"AAAAAH/9nd8=")</f>
        <v>#REF!</v>
      </c>
      <c r="HQ35" t="e">
        <f>AND(#REF!,"AAAAAH/9neA=")</f>
        <v>#REF!</v>
      </c>
      <c r="HR35" t="e">
        <f>AND(#REF!,"AAAAAH/9neE=")</f>
        <v>#REF!</v>
      </c>
      <c r="HS35" t="e">
        <f>AND(#REF!,"AAAAAH/9neI=")</f>
        <v>#REF!</v>
      </c>
      <c r="HT35" t="e">
        <f>AND(#REF!,"AAAAAH/9neM=")</f>
        <v>#REF!</v>
      </c>
      <c r="HU35" t="e">
        <f>AND(#REF!,"AAAAAH/9neQ=")</f>
        <v>#REF!</v>
      </c>
      <c r="HV35" t="e">
        <f>AND(#REF!,"AAAAAH/9neU=")</f>
        <v>#REF!</v>
      </c>
      <c r="HW35" t="e">
        <f>AND(#REF!,"AAAAAH/9neY=")</f>
        <v>#REF!</v>
      </c>
      <c r="HX35" t="e">
        <f>AND(#REF!,"AAAAAH/9nec=")</f>
        <v>#REF!</v>
      </c>
      <c r="HY35" t="e">
        <f>AND(#REF!,"AAAAAH/9neg=")</f>
        <v>#REF!</v>
      </c>
      <c r="HZ35" t="e">
        <f>AND(#REF!,"AAAAAH/9nek=")</f>
        <v>#REF!</v>
      </c>
      <c r="IA35" t="e">
        <f>AND(#REF!,"AAAAAH/9neo=")</f>
        <v>#REF!</v>
      </c>
      <c r="IB35" t="e">
        <f>AND(#REF!,"AAAAAH/9nes=")</f>
        <v>#REF!</v>
      </c>
      <c r="IC35" t="e">
        <f>AND(#REF!,"AAAAAH/9new=")</f>
        <v>#REF!</v>
      </c>
      <c r="ID35" t="e">
        <f>AND(#REF!,"AAAAAH/9ne0=")</f>
        <v>#REF!</v>
      </c>
      <c r="IE35" t="e">
        <f>AND(#REF!,"AAAAAH/9ne4=")</f>
        <v>#REF!</v>
      </c>
      <c r="IF35" t="e">
        <f>AND(#REF!,"AAAAAH/9ne8=")</f>
        <v>#REF!</v>
      </c>
      <c r="IG35" t="e">
        <f>AND(#REF!,"AAAAAH/9nfA=")</f>
        <v>#REF!</v>
      </c>
      <c r="IH35" t="e">
        <f>AND(#REF!,"AAAAAH/9nfE=")</f>
        <v>#REF!</v>
      </c>
      <c r="II35" t="e">
        <f>AND(#REF!,"AAAAAH/9nfI=")</f>
        <v>#REF!</v>
      </c>
      <c r="IJ35" t="e">
        <f>AND(#REF!,"AAAAAH/9nfM=")</f>
        <v>#REF!</v>
      </c>
      <c r="IK35" t="e">
        <f>AND(#REF!,"AAAAAH/9nfQ=")</f>
        <v>#REF!</v>
      </c>
      <c r="IL35" t="e">
        <f>AND(#REF!,"AAAAAH/9nfU=")</f>
        <v>#REF!</v>
      </c>
      <c r="IM35" t="e">
        <f>AND(#REF!,"AAAAAH/9nfY=")</f>
        <v>#REF!</v>
      </c>
      <c r="IN35" t="e">
        <f>AND(#REF!,"AAAAAH/9nfc=")</f>
        <v>#REF!</v>
      </c>
      <c r="IO35" t="e">
        <f>AND(#REF!,"AAAAAH/9nfg=")</f>
        <v>#REF!</v>
      </c>
      <c r="IP35" t="e">
        <f>AND(#REF!,"AAAAAH/9nfk=")</f>
        <v>#REF!</v>
      </c>
      <c r="IQ35" t="e">
        <f>AND(#REF!,"AAAAAH/9nfo=")</f>
        <v>#REF!</v>
      </c>
      <c r="IR35" t="e">
        <f>AND(#REF!,"AAAAAH/9nfs=")</f>
        <v>#REF!</v>
      </c>
      <c r="IS35" t="e">
        <f>AND(#REF!,"AAAAAH/9nfw=")</f>
        <v>#REF!</v>
      </c>
      <c r="IT35" t="e">
        <f>AND(#REF!,"AAAAAH/9nf0=")</f>
        <v>#REF!</v>
      </c>
      <c r="IU35" t="e">
        <f>AND(#REF!,"AAAAAH/9nf4=")</f>
        <v>#REF!</v>
      </c>
      <c r="IV35" t="e">
        <f>AND(#REF!,"AAAAAH/9nf8=")</f>
        <v>#REF!</v>
      </c>
    </row>
    <row r="36" spans="1:256" ht="15">
      <c r="A36" t="e">
        <f>AND(#REF!,"AAAAAHo5uwA=")</f>
        <v>#REF!</v>
      </c>
      <c r="B36" t="e">
        <f>AND(#REF!,"AAAAAHo5uwE=")</f>
        <v>#REF!</v>
      </c>
      <c r="C36" t="e">
        <f>AND(#REF!,"AAAAAHo5uwI=")</f>
        <v>#REF!</v>
      </c>
      <c r="D36" t="e">
        <f>AND(#REF!,"AAAAAHo5uwM=")</f>
        <v>#REF!</v>
      </c>
      <c r="E36" t="e">
        <f>AND(#REF!,"AAAAAHo5uwQ=")</f>
        <v>#REF!</v>
      </c>
      <c r="F36" t="e">
        <f>AND(#REF!,"AAAAAHo5uwU=")</f>
        <v>#REF!</v>
      </c>
      <c r="G36" t="e">
        <f>AND(#REF!,"AAAAAHo5uwY=")</f>
        <v>#REF!</v>
      </c>
      <c r="H36" t="e">
        <f>AND(#REF!,"AAAAAHo5uwc=")</f>
        <v>#REF!</v>
      </c>
      <c r="I36" t="e">
        <f>AND(#REF!,"AAAAAHo5uwg=")</f>
        <v>#REF!</v>
      </c>
      <c r="J36" t="e">
        <f>AND(#REF!,"AAAAAHo5uwk=")</f>
        <v>#REF!</v>
      </c>
      <c r="K36" t="e">
        <f>AND(#REF!,"AAAAAHo5uwo=")</f>
        <v>#REF!</v>
      </c>
      <c r="L36" t="e">
        <f>AND(#REF!,"AAAAAHo5uws=")</f>
        <v>#REF!</v>
      </c>
      <c r="M36" t="e">
        <f>AND(#REF!,"AAAAAHo5uww=")</f>
        <v>#REF!</v>
      </c>
      <c r="N36" t="e">
        <f>AND(#REF!,"AAAAAHo5uw0=")</f>
        <v>#REF!</v>
      </c>
      <c r="O36" t="e">
        <f>AND(#REF!,"AAAAAHo5uw4=")</f>
        <v>#REF!</v>
      </c>
      <c r="P36" t="e">
        <f>IF(#REF!,"AAAAAHo5uw8=",0)</f>
        <v>#REF!</v>
      </c>
      <c r="Q36" t="e">
        <f>AND(#REF!,"AAAAAHo5uxA=")</f>
        <v>#REF!</v>
      </c>
      <c r="R36" t="e">
        <f>AND(#REF!,"AAAAAHo5uxE=")</f>
        <v>#REF!</v>
      </c>
      <c r="S36" t="e">
        <f>AND(#REF!,"AAAAAHo5uxI=")</f>
        <v>#REF!</v>
      </c>
      <c r="T36" t="e">
        <f>AND(#REF!,"AAAAAHo5uxM=")</f>
        <v>#REF!</v>
      </c>
      <c r="U36" t="e">
        <f>AND(#REF!,"AAAAAHo5uxQ=")</f>
        <v>#REF!</v>
      </c>
      <c r="V36" t="e">
        <f>AND(#REF!,"AAAAAHo5uxU=")</f>
        <v>#REF!</v>
      </c>
      <c r="W36" t="e">
        <f>AND(#REF!,"AAAAAHo5uxY=")</f>
        <v>#REF!</v>
      </c>
      <c r="X36" t="e">
        <f>AND(#REF!,"AAAAAHo5uxc=")</f>
        <v>#REF!</v>
      </c>
      <c r="Y36" t="e">
        <f>AND(#REF!,"AAAAAHo5uxg=")</f>
        <v>#REF!</v>
      </c>
      <c r="Z36" t="e">
        <f>AND(#REF!,"AAAAAHo5uxk=")</f>
        <v>#REF!</v>
      </c>
      <c r="AA36" t="e">
        <f>AND(#REF!,"AAAAAHo5uxo=")</f>
        <v>#REF!</v>
      </c>
      <c r="AB36" t="e">
        <f>AND(#REF!,"AAAAAHo5uxs=")</f>
        <v>#REF!</v>
      </c>
      <c r="AC36" t="e">
        <f>AND(#REF!,"AAAAAHo5uxw=")</f>
        <v>#REF!</v>
      </c>
      <c r="AD36" t="e">
        <f>AND(#REF!,"AAAAAHo5ux0=")</f>
        <v>#REF!</v>
      </c>
      <c r="AE36" t="e">
        <f>AND(#REF!,"AAAAAHo5ux4=")</f>
        <v>#REF!</v>
      </c>
      <c r="AF36" t="e">
        <f>AND(#REF!,"AAAAAHo5ux8=")</f>
        <v>#REF!</v>
      </c>
      <c r="AG36" t="e">
        <f>AND(#REF!,"AAAAAHo5uyA=")</f>
        <v>#REF!</v>
      </c>
      <c r="AH36" t="e">
        <f>AND(#REF!,"AAAAAHo5uyE=")</f>
        <v>#REF!</v>
      </c>
      <c r="AI36" t="e">
        <f>AND(#REF!,"AAAAAHo5uyI=")</f>
        <v>#REF!</v>
      </c>
      <c r="AJ36" t="e">
        <f>AND(#REF!,"AAAAAHo5uyM=")</f>
        <v>#REF!</v>
      </c>
      <c r="AK36" t="e">
        <f>AND(#REF!,"AAAAAHo5uyQ=")</f>
        <v>#REF!</v>
      </c>
      <c r="AL36" t="e">
        <f>AND(#REF!,"AAAAAHo5uyU=")</f>
        <v>#REF!</v>
      </c>
      <c r="AM36" t="e">
        <f>AND(#REF!,"AAAAAHo5uyY=")</f>
        <v>#REF!</v>
      </c>
      <c r="AN36" t="e">
        <f>AND(#REF!,"AAAAAHo5uyc=")</f>
        <v>#REF!</v>
      </c>
      <c r="AO36" t="e">
        <f>AND(#REF!,"AAAAAHo5uyg=")</f>
        <v>#REF!</v>
      </c>
      <c r="AP36" t="e">
        <f>AND(#REF!,"AAAAAHo5uyk=")</f>
        <v>#REF!</v>
      </c>
      <c r="AQ36" t="e">
        <f>AND(#REF!,"AAAAAHo5uyo=")</f>
        <v>#REF!</v>
      </c>
      <c r="AR36" t="e">
        <f>AND(#REF!,"AAAAAHo5uys=")</f>
        <v>#REF!</v>
      </c>
      <c r="AS36" t="e">
        <f>AND(#REF!,"AAAAAHo5uyw=")</f>
        <v>#REF!</v>
      </c>
      <c r="AT36" t="e">
        <f>AND(#REF!,"AAAAAHo5uy0=")</f>
        <v>#REF!</v>
      </c>
      <c r="AU36" t="e">
        <f>AND(#REF!,"AAAAAHo5uy4=")</f>
        <v>#REF!</v>
      </c>
      <c r="AV36" t="e">
        <f>AND(#REF!,"AAAAAHo5uy8=")</f>
        <v>#REF!</v>
      </c>
      <c r="AW36" t="e">
        <f>AND(#REF!,"AAAAAHo5uzA=")</f>
        <v>#REF!</v>
      </c>
      <c r="AX36" t="e">
        <f>AND(#REF!,"AAAAAHo5uzE=")</f>
        <v>#REF!</v>
      </c>
      <c r="AY36" t="e">
        <f>AND(#REF!,"AAAAAHo5uzI=")</f>
        <v>#REF!</v>
      </c>
      <c r="AZ36" t="e">
        <f>AND(#REF!,"AAAAAHo5uzM=")</f>
        <v>#REF!</v>
      </c>
      <c r="BA36" t="e">
        <f>AND(#REF!,"AAAAAHo5uzQ=")</f>
        <v>#REF!</v>
      </c>
      <c r="BB36" t="e">
        <f>AND(#REF!,"AAAAAHo5uzU=")</f>
        <v>#REF!</v>
      </c>
      <c r="BC36" t="e">
        <f>AND(#REF!,"AAAAAHo5uzY=")</f>
        <v>#REF!</v>
      </c>
      <c r="BD36" t="e">
        <f>AND(#REF!,"AAAAAHo5uzc=")</f>
        <v>#REF!</v>
      </c>
      <c r="BE36" t="e">
        <f>AND(#REF!,"AAAAAHo5uzg=")</f>
        <v>#REF!</v>
      </c>
      <c r="BF36" t="e">
        <f>AND(#REF!,"AAAAAHo5uzk=")</f>
        <v>#REF!</v>
      </c>
      <c r="BG36" t="e">
        <f>AND(#REF!,"AAAAAHo5uzo=")</f>
        <v>#REF!</v>
      </c>
      <c r="BH36" t="e">
        <f>AND(#REF!,"AAAAAHo5uzs=")</f>
        <v>#REF!</v>
      </c>
      <c r="BI36" t="e">
        <f>AND(#REF!,"AAAAAHo5uzw=")</f>
        <v>#REF!</v>
      </c>
      <c r="BJ36" t="e">
        <f>AND(#REF!,"AAAAAHo5uz0=")</f>
        <v>#REF!</v>
      </c>
      <c r="BK36" t="e">
        <f>AND(#REF!,"AAAAAHo5uz4=")</f>
        <v>#REF!</v>
      </c>
      <c r="BL36" t="e">
        <f>AND(#REF!,"AAAAAHo5uz8=")</f>
        <v>#REF!</v>
      </c>
      <c r="BM36" t="e">
        <f>AND(#REF!,"AAAAAHo5u0A=")</f>
        <v>#REF!</v>
      </c>
      <c r="BN36" t="e">
        <f>AND(#REF!,"AAAAAHo5u0E=")</f>
        <v>#REF!</v>
      </c>
      <c r="BO36" t="e">
        <f>AND(#REF!,"AAAAAHo5u0I=")</f>
        <v>#REF!</v>
      </c>
      <c r="BP36" t="e">
        <f>AND(#REF!,"AAAAAHo5u0M=")</f>
        <v>#REF!</v>
      </c>
      <c r="BQ36" t="e">
        <f>AND(#REF!,"AAAAAHo5u0Q=")</f>
        <v>#REF!</v>
      </c>
      <c r="BR36" t="e">
        <f>AND(#REF!,"AAAAAHo5u0U=")</f>
        <v>#REF!</v>
      </c>
      <c r="BS36" t="e">
        <f>AND(#REF!,"AAAAAHo5u0Y=")</f>
        <v>#REF!</v>
      </c>
      <c r="BT36" t="e">
        <f>AND(#REF!,"AAAAAHo5u0c=")</f>
        <v>#REF!</v>
      </c>
      <c r="BU36" t="e">
        <f>AND(#REF!,"AAAAAHo5u0g=")</f>
        <v>#REF!</v>
      </c>
      <c r="BV36" t="e">
        <f>AND(#REF!,"AAAAAHo5u0k=")</f>
        <v>#REF!</v>
      </c>
      <c r="BW36" t="e">
        <f>AND(#REF!,"AAAAAHo5u0o=")</f>
        <v>#REF!</v>
      </c>
      <c r="BX36" t="e">
        <f>AND(#REF!,"AAAAAHo5u0s=")</f>
        <v>#REF!</v>
      </c>
      <c r="BY36" t="e">
        <f>AND(#REF!,"AAAAAHo5u0w=")</f>
        <v>#REF!</v>
      </c>
      <c r="BZ36" t="e">
        <f>AND(#REF!,"AAAAAHo5u00=")</f>
        <v>#REF!</v>
      </c>
      <c r="CA36" t="e">
        <f>AND(#REF!,"AAAAAHo5u04=")</f>
        <v>#REF!</v>
      </c>
      <c r="CB36" t="e">
        <f>AND(#REF!,"AAAAAHo5u08=")</f>
        <v>#REF!</v>
      </c>
      <c r="CC36" t="e">
        <f>AND(#REF!,"AAAAAHo5u1A=")</f>
        <v>#REF!</v>
      </c>
      <c r="CD36" t="e">
        <f>AND(#REF!,"AAAAAHo5u1E=")</f>
        <v>#REF!</v>
      </c>
      <c r="CE36" t="e">
        <f>AND(#REF!,"AAAAAHo5u1I=")</f>
        <v>#REF!</v>
      </c>
      <c r="CF36" t="e">
        <f>AND(#REF!,"AAAAAHo5u1M=")</f>
        <v>#REF!</v>
      </c>
      <c r="CG36" t="e">
        <f>AND(#REF!,"AAAAAHo5u1Q=")</f>
        <v>#REF!</v>
      </c>
      <c r="CH36" t="e">
        <f>AND(#REF!,"AAAAAHo5u1U=")</f>
        <v>#REF!</v>
      </c>
      <c r="CI36" t="e">
        <f>AND(#REF!,"AAAAAHo5u1Y=")</f>
        <v>#REF!</v>
      </c>
      <c r="CJ36" t="e">
        <f>AND(#REF!,"AAAAAHo5u1c=")</f>
        <v>#REF!</v>
      </c>
      <c r="CK36" t="e">
        <f>AND(#REF!,"AAAAAHo5u1g=")</f>
        <v>#REF!</v>
      </c>
      <c r="CL36" t="e">
        <f>AND(#REF!,"AAAAAHo5u1k=")</f>
        <v>#REF!</v>
      </c>
      <c r="CM36" t="e">
        <f>AND(#REF!,"AAAAAHo5u1o=")</f>
        <v>#REF!</v>
      </c>
      <c r="CN36" t="e">
        <f>AND(#REF!,"AAAAAHo5u1s=")</f>
        <v>#REF!</v>
      </c>
      <c r="CO36" t="e">
        <f>AND(#REF!,"AAAAAHo5u1w=")</f>
        <v>#REF!</v>
      </c>
      <c r="CP36" t="e">
        <f>AND(#REF!,"AAAAAHo5u10=")</f>
        <v>#REF!</v>
      </c>
      <c r="CQ36" t="e">
        <f>AND(#REF!,"AAAAAHo5u14=")</f>
        <v>#REF!</v>
      </c>
      <c r="CR36" t="e">
        <f>AND(#REF!,"AAAAAHo5u18=")</f>
        <v>#REF!</v>
      </c>
      <c r="CS36" t="e">
        <f>AND(#REF!,"AAAAAHo5u2A=")</f>
        <v>#REF!</v>
      </c>
      <c r="CT36" t="e">
        <f>AND(#REF!,"AAAAAHo5u2E=")</f>
        <v>#REF!</v>
      </c>
      <c r="CU36" t="e">
        <f>AND(#REF!,"AAAAAHo5u2I=")</f>
        <v>#REF!</v>
      </c>
      <c r="CV36" t="e">
        <f>AND(#REF!,"AAAAAHo5u2M=")</f>
        <v>#REF!</v>
      </c>
      <c r="CW36" t="e">
        <f>AND(#REF!,"AAAAAHo5u2Q=")</f>
        <v>#REF!</v>
      </c>
      <c r="CX36" t="e">
        <f>AND(#REF!,"AAAAAHo5u2U=")</f>
        <v>#REF!</v>
      </c>
      <c r="CY36" t="e">
        <f>AND(#REF!,"AAAAAHo5u2Y=")</f>
        <v>#REF!</v>
      </c>
      <c r="CZ36" t="e">
        <f>AND(#REF!,"AAAAAHo5u2c=")</f>
        <v>#REF!</v>
      </c>
      <c r="DA36" t="e">
        <f>AND(#REF!,"AAAAAHo5u2g=")</f>
        <v>#REF!</v>
      </c>
      <c r="DB36" t="e">
        <f>AND(#REF!,"AAAAAHo5u2k=")</f>
        <v>#REF!</v>
      </c>
      <c r="DC36" t="e">
        <f>AND(#REF!,"AAAAAHo5u2o=")</f>
        <v>#REF!</v>
      </c>
      <c r="DD36" t="e">
        <f>AND(#REF!,"AAAAAHo5u2s=")</f>
        <v>#REF!</v>
      </c>
      <c r="DE36" t="e">
        <f>AND(#REF!,"AAAAAHo5u2w=")</f>
        <v>#REF!</v>
      </c>
      <c r="DF36" t="e">
        <f>AND(#REF!,"AAAAAHo5u20=")</f>
        <v>#REF!</v>
      </c>
      <c r="DG36" t="e">
        <f>AND(#REF!,"AAAAAHo5u24=")</f>
        <v>#REF!</v>
      </c>
      <c r="DH36" t="e">
        <f>AND(#REF!,"AAAAAHo5u28=")</f>
        <v>#REF!</v>
      </c>
      <c r="DI36" t="e">
        <f>AND(#REF!,"AAAAAHo5u3A=")</f>
        <v>#REF!</v>
      </c>
      <c r="DJ36" t="e">
        <f>AND(#REF!,"AAAAAHo5u3E=")</f>
        <v>#REF!</v>
      </c>
      <c r="DK36" t="e">
        <f>AND(#REF!,"AAAAAHo5u3I=")</f>
        <v>#REF!</v>
      </c>
      <c r="DL36" t="e">
        <f>AND(#REF!,"AAAAAHo5u3M=")</f>
        <v>#REF!</v>
      </c>
      <c r="DM36" t="e">
        <f>AND(#REF!,"AAAAAHo5u3Q=")</f>
        <v>#REF!</v>
      </c>
      <c r="DN36" t="e">
        <f>AND(#REF!,"AAAAAHo5u3U=")</f>
        <v>#REF!</v>
      </c>
      <c r="DO36" t="e">
        <f>AND(#REF!,"AAAAAHo5u3Y=")</f>
        <v>#REF!</v>
      </c>
      <c r="DP36" t="e">
        <f>AND(#REF!,"AAAAAHo5u3c=")</f>
        <v>#REF!</v>
      </c>
      <c r="DQ36" t="e">
        <f>AND(#REF!,"AAAAAHo5u3g=")</f>
        <v>#REF!</v>
      </c>
      <c r="DR36" t="e">
        <f>AND(#REF!,"AAAAAHo5u3k=")</f>
        <v>#REF!</v>
      </c>
      <c r="DS36" t="e">
        <f>AND(#REF!,"AAAAAHo5u3o=")</f>
        <v>#REF!</v>
      </c>
      <c r="DT36" t="e">
        <f>AND(#REF!,"AAAAAHo5u3s=")</f>
        <v>#REF!</v>
      </c>
      <c r="DU36" t="e">
        <f>AND(#REF!,"AAAAAHo5u3w=")</f>
        <v>#REF!</v>
      </c>
      <c r="DV36" t="e">
        <f>AND(#REF!,"AAAAAHo5u30=")</f>
        <v>#REF!</v>
      </c>
      <c r="DW36" t="e">
        <f>AND(#REF!,"AAAAAHo5u34=")</f>
        <v>#REF!</v>
      </c>
      <c r="DX36" t="e">
        <f>AND(#REF!,"AAAAAHo5u38=")</f>
        <v>#REF!</v>
      </c>
      <c r="DY36" t="e">
        <f>AND(#REF!,"AAAAAHo5u4A=")</f>
        <v>#REF!</v>
      </c>
      <c r="DZ36" t="e">
        <f>AND(#REF!,"AAAAAHo5u4E=")</f>
        <v>#REF!</v>
      </c>
      <c r="EA36" t="e">
        <f>AND(#REF!,"AAAAAHo5u4I=")</f>
        <v>#REF!</v>
      </c>
      <c r="EB36" t="e">
        <f>AND(#REF!,"AAAAAHo5u4M=")</f>
        <v>#REF!</v>
      </c>
      <c r="EC36" t="e">
        <f>AND(#REF!,"AAAAAHo5u4Q=")</f>
        <v>#REF!</v>
      </c>
      <c r="ED36" t="e">
        <f>AND(#REF!,"AAAAAHo5u4U=")</f>
        <v>#REF!</v>
      </c>
      <c r="EE36" t="e">
        <f>AND(#REF!,"AAAAAHo5u4Y=")</f>
        <v>#REF!</v>
      </c>
      <c r="EF36" t="e">
        <f>AND(#REF!,"AAAAAHo5u4c=")</f>
        <v>#REF!</v>
      </c>
      <c r="EG36" t="e">
        <f>AND(#REF!,"AAAAAHo5u4g=")</f>
        <v>#REF!</v>
      </c>
      <c r="EH36" t="e">
        <f>AND(#REF!,"AAAAAHo5u4k=")</f>
        <v>#REF!</v>
      </c>
      <c r="EI36" t="e">
        <f>AND(#REF!,"AAAAAHo5u4o=")</f>
        <v>#REF!</v>
      </c>
      <c r="EJ36" t="e">
        <f>AND(#REF!,"AAAAAHo5u4s=")</f>
        <v>#REF!</v>
      </c>
      <c r="EK36" t="e">
        <f>AND(#REF!,"AAAAAHo5u4w=")</f>
        <v>#REF!</v>
      </c>
      <c r="EL36" t="e">
        <f>AND(#REF!,"AAAAAHo5u40=")</f>
        <v>#REF!</v>
      </c>
      <c r="EM36" t="e">
        <f>AND(#REF!,"AAAAAHo5u44=")</f>
        <v>#REF!</v>
      </c>
      <c r="EN36" t="e">
        <f>AND(#REF!,"AAAAAHo5u48=")</f>
        <v>#REF!</v>
      </c>
      <c r="EO36" t="e">
        <f>AND(#REF!,"AAAAAHo5u5A=")</f>
        <v>#REF!</v>
      </c>
      <c r="EP36" t="e">
        <f>AND(#REF!,"AAAAAHo5u5E=")</f>
        <v>#REF!</v>
      </c>
      <c r="EQ36" t="e">
        <f>AND(#REF!,"AAAAAHo5u5I=")</f>
        <v>#REF!</v>
      </c>
      <c r="ER36" t="e">
        <f>AND(#REF!,"AAAAAHo5u5M=")</f>
        <v>#REF!</v>
      </c>
      <c r="ES36" t="e">
        <f>AND(#REF!,"AAAAAHo5u5Q=")</f>
        <v>#REF!</v>
      </c>
      <c r="ET36" t="e">
        <f>AND(#REF!,"AAAAAHo5u5U=")</f>
        <v>#REF!</v>
      </c>
      <c r="EU36" t="e">
        <f>AND(#REF!,"AAAAAHo5u5Y=")</f>
        <v>#REF!</v>
      </c>
      <c r="EV36" t="e">
        <f>IF(#REF!,"AAAAAHo5u5c=",0)</f>
        <v>#REF!</v>
      </c>
      <c r="EW36" t="e">
        <f>AND(#REF!,"AAAAAHo5u5g=")</f>
        <v>#REF!</v>
      </c>
      <c r="EX36" t="e">
        <f>AND(#REF!,"AAAAAHo5u5k=")</f>
        <v>#REF!</v>
      </c>
      <c r="EY36" t="e">
        <f>AND(#REF!,"AAAAAHo5u5o=")</f>
        <v>#REF!</v>
      </c>
      <c r="EZ36" t="e">
        <f>AND(#REF!,"AAAAAHo5u5s=")</f>
        <v>#REF!</v>
      </c>
      <c r="FA36" t="e">
        <f>AND(#REF!,"AAAAAHo5u5w=")</f>
        <v>#REF!</v>
      </c>
      <c r="FB36" t="e">
        <f>AND(#REF!,"AAAAAHo5u50=")</f>
        <v>#REF!</v>
      </c>
      <c r="FC36" t="e">
        <f>AND(#REF!,"AAAAAHo5u54=")</f>
        <v>#REF!</v>
      </c>
      <c r="FD36" t="e">
        <f>AND(#REF!,"AAAAAHo5u58=")</f>
        <v>#REF!</v>
      </c>
      <c r="FE36" t="e">
        <f>AND(#REF!,"AAAAAHo5u6A=")</f>
        <v>#REF!</v>
      </c>
      <c r="FF36" t="e">
        <f>AND(#REF!,"AAAAAHo5u6E=")</f>
        <v>#REF!</v>
      </c>
      <c r="FG36" t="e">
        <f>AND(#REF!,"AAAAAHo5u6I=")</f>
        <v>#REF!</v>
      </c>
      <c r="FH36" t="e">
        <f>AND(#REF!,"AAAAAHo5u6M=")</f>
        <v>#REF!</v>
      </c>
      <c r="FI36" t="e">
        <f>AND(#REF!,"AAAAAHo5u6Q=")</f>
        <v>#REF!</v>
      </c>
      <c r="FJ36" t="e">
        <f>AND(#REF!,"AAAAAHo5u6U=")</f>
        <v>#REF!</v>
      </c>
      <c r="FK36" t="e">
        <f>AND(#REF!,"AAAAAHo5u6Y=")</f>
        <v>#REF!</v>
      </c>
      <c r="FL36" t="e">
        <f>AND(#REF!,"AAAAAHo5u6c=")</f>
        <v>#REF!</v>
      </c>
      <c r="FM36" t="e">
        <f>AND(#REF!,"AAAAAHo5u6g=")</f>
        <v>#REF!</v>
      </c>
      <c r="FN36" t="e">
        <f>AND(#REF!,"AAAAAHo5u6k=")</f>
        <v>#REF!</v>
      </c>
      <c r="FO36" t="e">
        <f>AND(#REF!,"AAAAAHo5u6o=")</f>
        <v>#REF!</v>
      </c>
      <c r="FP36" t="e">
        <f>AND(#REF!,"AAAAAHo5u6s=")</f>
        <v>#REF!</v>
      </c>
      <c r="FQ36" t="e">
        <f>AND(#REF!,"AAAAAHo5u6w=")</f>
        <v>#REF!</v>
      </c>
      <c r="FR36" t="e">
        <f>AND(#REF!,"AAAAAHo5u60=")</f>
        <v>#REF!</v>
      </c>
      <c r="FS36" t="e">
        <f>AND(#REF!,"AAAAAHo5u64=")</f>
        <v>#REF!</v>
      </c>
      <c r="FT36" t="e">
        <f>AND(#REF!,"AAAAAHo5u68=")</f>
        <v>#REF!</v>
      </c>
      <c r="FU36" t="e">
        <f>AND(#REF!,"AAAAAHo5u7A=")</f>
        <v>#REF!</v>
      </c>
      <c r="FV36" t="e">
        <f>AND(#REF!,"AAAAAHo5u7E=")</f>
        <v>#REF!</v>
      </c>
      <c r="FW36" t="e">
        <f>AND(#REF!,"AAAAAHo5u7I=")</f>
        <v>#REF!</v>
      </c>
      <c r="FX36" t="e">
        <f>AND(#REF!,"AAAAAHo5u7M=")</f>
        <v>#REF!</v>
      </c>
      <c r="FY36" t="e">
        <f>AND(#REF!,"AAAAAHo5u7Q=")</f>
        <v>#REF!</v>
      </c>
      <c r="FZ36" t="e">
        <f>AND(#REF!,"AAAAAHo5u7U=")</f>
        <v>#REF!</v>
      </c>
      <c r="GA36" t="e">
        <f>AND(#REF!,"AAAAAHo5u7Y=")</f>
        <v>#REF!</v>
      </c>
      <c r="GB36" t="e">
        <f>AND(#REF!,"AAAAAHo5u7c=")</f>
        <v>#REF!</v>
      </c>
      <c r="GC36" t="e">
        <f>AND(#REF!,"AAAAAHo5u7g=")</f>
        <v>#REF!</v>
      </c>
      <c r="GD36" t="e">
        <f>AND(#REF!,"AAAAAHo5u7k=")</f>
        <v>#REF!</v>
      </c>
      <c r="GE36" t="e">
        <f>AND(#REF!,"AAAAAHo5u7o=")</f>
        <v>#REF!</v>
      </c>
      <c r="GF36" t="e">
        <f>AND(#REF!,"AAAAAHo5u7s=")</f>
        <v>#REF!</v>
      </c>
      <c r="GG36" t="e">
        <f>AND(#REF!,"AAAAAHo5u7w=")</f>
        <v>#REF!</v>
      </c>
      <c r="GH36" t="e">
        <f>AND(#REF!,"AAAAAHo5u70=")</f>
        <v>#REF!</v>
      </c>
      <c r="GI36" t="e">
        <f>AND(#REF!,"AAAAAHo5u74=")</f>
        <v>#REF!</v>
      </c>
      <c r="GJ36" t="e">
        <f>AND(#REF!,"AAAAAHo5u78=")</f>
        <v>#REF!</v>
      </c>
      <c r="GK36" t="e">
        <f>AND(#REF!,"AAAAAHo5u8A=")</f>
        <v>#REF!</v>
      </c>
      <c r="GL36" t="e">
        <f>AND(#REF!,"AAAAAHo5u8E=")</f>
        <v>#REF!</v>
      </c>
      <c r="GM36" t="e">
        <f>AND(#REF!,"AAAAAHo5u8I=")</f>
        <v>#REF!</v>
      </c>
      <c r="GN36" t="e">
        <f>AND(#REF!,"AAAAAHo5u8M=")</f>
        <v>#REF!</v>
      </c>
      <c r="GO36" t="e">
        <f>AND(#REF!,"AAAAAHo5u8Q=")</f>
        <v>#REF!</v>
      </c>
      <c r="GP36" t="e">
        <f>AND(#REF!,"AAAAAHo5u8U=")</f>
        <v>#REF!</v>
      </c>
      <c r="GQ36" t="e">
        <f>AND(#REF!,"AAAAAHo5u8Y=")</f>
        <v>#REF!</v>
      </c>
      <c r="GR36" t="e">
        <f>AND(#REF!,"AAAAAHo5u8c=")</f>
        <v>#REF!</v>
      </c>
      <c r="GS36" t="e">
        <f>AND(#REF!,"AAAAAHo5u8g=")</f>
        <v>#REF!</v>
      </c>
      <c r="GT36" t="e">
        <f>AND(#REF!,"AAAAAHo5u8k=")</f>
        <v>#REF!</v>
      </c>
      <c r="GU36" t="e">
        <f>AND(#REF!,"AAAAAHo5u8o=")</f>
        <v>#REF!</v>
      </c>
      <c r="GV36" t="e">
        <f>AND(#REF!,"AAAAAHo5u8s=")</f>
        <v>#REF!</v>
      </c>
      <c r="GW36" t="e">
        <f>AND(#REF!,"AAAAAHo5u8w=")</f>
        <v>#REF!</v>
      </c>
      <c r="GX36" t="e">
        <f>AND(#REF!,"AAAAAHo5u80=")</f>
        <v>#REF!</v>
      </c>
      <c r="GY36" t="e">
        <f>AND(#REF!,"AAAAAHo5u84=")</f>
        <v>#REF!</v>
      </c>
      <c r="GZ36" t="e">
        <f>AND(#REF!,"AAAAAHo5u88=")</f>
        <v>#REF!</v>
      </c>
      <c r="HA36" t="e">
        <f>AND(#REF!,"AAAAAHo5u9A=")</f>
        <v>#REF!</v>
      </c>
      <c r="HB36" t="e">
        <f>AND(#REF!,"AAAAAHo5u9E=")</f>
        <v>#REF!</v>
      </c>
      <c r="HC36" t="e">
        <f>AND(#REF!,"AAAAAHo5u9I=")</f>
        <v>#REF!</v>
      </c>
      <c r="HD36" t="e">
        <f>AND(#REF!,"AAAAAHo5u9M=")</f>
        <v>#REF!</v>
      </c>
      <c r="HE36" t="e">
        <f>AND(#REF!,"AAAAAHo5u9Q=")</f>
        <v>#REF!</v>
      </c>
      <c r="HF36" t="e">
        <f>AND(#REF!,"AAAAAHo5u9U=")</f>
        <v>#REF!</v>
      </c>
      <c r="HG36" t="e">
        <f>AND(#REF!,"AAAAAHo5u9Y=")</f>
        <v>#REF!</v>
      </c>
      <c r="HH36" t="e">
        <f>AND(#REF!,"AAAAAHo5u9c=")</f>
        <v>#REF!</v>
      </c>
      <c r="HI36" t="e">
        <f>AND(#REF!,"AAAAAHo5u9g=")</f>
        <v>#REF!</v>
      </c>
      <c r="HJ36" t="e">
        <f>AND(#REF!,"AAAAAHo5u9k=")</f>
        <v>#REF!</v>
      </c>
      <c r="HK36" t="e">
        <f>AND(#REF!,"AAAAAHo5u9o=")</f>
        <v>#REF!</v>
      </c>
      <c r="HL36" t="e">
        <f>AND(#REF!,"AAAAAHo5u9s=")</f>
        <v>#REF!</v>
      </c>
      <c r="HM36" t="e">
        <f>AND(#REF!,"AAAAAHo5u9w=")</f>
        <v>#REF!</v>
      </c>
      <c r="HN36" t="e">
        <f>AND(#REF!,"AAAAAHo5u90=")</f>
        <v>#REF!</v>
      </c>
      <c r="HO36" t="e">
        <f>AND(#REF!,"AAAAAHo5u94=")</f>
        <v>#REF!</v>
      </c>
      <c r="HP36" t="e">
        <f>AND(#REF!,"AAAAAHo5u98=")</f>
        <v>#REF!</v>
      </c>
      <c r="HQ36" t="e">
        <f>AND(#REF!,"AAAAAHo5u+A=")</f>
        <v>#REF!</v>
      </c>
      <c r="HR36" t="e">
        <f>AND(#REF!,"AAAAAHo5u+E=")</f>
        <v>#REF!</v>
      </c>
      <c r="HS36" t="e">
        <f>AND(#REF!,"AAAAAHo5u+I=")</f>
        <v>#REF!</v>
      </c>
      <c r="HT36" t="e">
        <f>AND(#REF!,"AAAAAHo5u+M=")</f>
        <v>#REF!</v>
      </c>
      <c r="HU36" t="e">
        <f>AND(#REF!,"AAAAAHo5u+Q=")</f>
        <v>#REF!</v>
      </c>
      <c r="HV36" t="e">
        <f>AND(#REF!,"AAAAAHo5u+U=")</f>
        <v>#REF!</v>
      </c>
      <c r="HW36" t="e">
        <f>AND(#REF!,"AAAAAHo5u+Y=")</f>
        <v>#REF!</v>
      </c>
      <c r="HX36" t="e">
        <f>AND(#REF!,"AAAAAHo5u+c=")</f>
        <v>#REF!</v>
      </c>
      <c r="HY36" t="e">
        <f>AND(#REF!,"AAAAAHo5u+g=")</f>
        <v>#REF!</v>
      </c>
      <c r="HZ36" t="e">
        <f>AND(#REF!,"AAAAAHo5u+k=")</f>
        <v>#REF!</v>
      </c>
      <c r="IA36" t="e">
        <f>AND(#REF!,"AAAAAHo5u+o=")</f>
        <v>#REF!</v>
      </c>
      <c r="IB36" t="e">
        <f>AND(#REF!,"AAAAAHo5u+s=")</f>
        <v>#REF!</v>
      </c>
      <c r="IC36" t="e">
        <f>AND(#REF!,"AAAAAHo5u+w=")</f>
        <v>#REF!</v>
      </c>
      <c r="ID36" t="e">
        <f>AND(#REF!,"AAAAAHo5u+0=")</f>
        <v>#REF!</v>
      </c>
      <c r="IE36" t="e">
        <f>AND(#REF!,"AAAAAHo5u+4=")</f>
        <v>#REF!</v>
      </c>
      <c r="IF36" t="e">
        <f>AND(#REF!,"AAAAAHo5u+8=")</f>
        <v>#REF!</v>
      </c>
      <c r="IG36" t="e">
        <f>AND(#REF!,"AAAAAHo5u/A=")</f>
        <v>#REF!</v>
      </c>
      <c r="IH36" t="e">
        <f>AND(#REF!,"AAAAAHo5u/E=")</f>
        <v>#REF!</v>
      </c>
      <c r="II36" t="e">
        <f>AND(#REF!,"AAAAAHo5u/I=")</f>
        <v>#REF!</v>
      </c>
      <c r="IJ36" t="e">
        <f>AND(#REF!,"AAAAAHo5u/M=")</f>
        <v>#REF!</v>
      </c>
      <c r="IK36" t="e">
        <f>AND(#REF!,"AAAAAHo5u/Q=")</f>
        <v>#REF!</v>
      </c>
      <c r="IL36" t="e">
        <f>AND(#REF!,"AAAAAHo5u/U=")</f>
        <v>#REF!</v>
      </c>
      <c r="IM36" t="e">
        <f>AND(#REF!,"AAAAAHo5u/Y=")</f>
        <v>#REF!</v>
      </c>
      <c r="IN36" t="e">
        <f>AND(#REF!,"AAAAAHo5u/c=")</f>
        <v>#REF!</v>
      </c>
      <c r="IO36" t="e">
        <f>AND(#REF!,"AAAAAHo5u/g=")</f>
        <v>#REF!</v>
      </c>
      <c r="IP36" t="e">
        <f>AND(#REF!,"AAAAAHo5u/k=")</f>
        <v>#REF!</v>
      </c>
      <c r="IQ36" t="e">
        <f>AND(#REF!,"AAAAAHo5u/o=")</f>
        <v>#REF!</v>
      </c>
      <c r="IR36" t="e">
        <f>AND(#REF!,"AAAAAHo5u/s=")</f>
        <v>#REF!</v>
      </c>
      <c r="IS36" t="e">
        <f>AND(#REF!,"AAAAAHo5u/w=")</f>
        <v>#REF!</v>
      </c>
      <c r="IT36" t="e">
        <f>AND(#REF!,"AAAAAHo5u/0=")</f>
        <v>#REF!</v>
      </c>
      <c r="IU36" t="e">
        <f>AND(#REF!,"AAAAAHo5u/4=")</f>
        <v>#REF!</v>
      </c>
      <c r="IV36" t="e">
        <f>AND(#REF!,"AAAAAHo5u/8=")</f>
        <v>#REF!</v>
      </c>
    </row>
    <row r="37" spans="1:256" ht="15">
      <c r="A37" t="e">
        <f>AND(#REF!,"AAAAACr7dAA=")</f>
        <v>#REF!</v>
      </c>
      <c r="B37" t="e">
        <f>AND(#REF!,"AAAAACr7dAE=")</f>
        <v>#REF!</v>
      </c>
      <c r="C37" t="e">
        <f>AND(#REF!,"AAAAACr7dAI=")</f>
        <v>#REF!</v>
      </c>
      <c r="D37" t="e">
        <f>AND(#REF!,"AAAAACr7dAM=")</f>
        <v>#REF!</v>
      </c>
      <c r="E37" t="e">
        <f>AND(#REF!,"AAAAACr7dAQ=")</f>
        <v>#REF!</v>
      </c>
      <c r="F37" t="e">
        <f>AND(#REF!,"AAAAACr7dAU=")</f>
        <v>#REF!</v>
      </c>
      <c r="G37" t="e">
        <f>AND(#REF!,"AAAAACr7dAY=")</f>
        <v>#REF!</v>
      </c>
      <c r="H37" t="e">
        <f>AND(#REF!,"AAAAACr7dAc=")</f>
        <v>#REF!</v>
      </c>
      <c r="I37" t="e">
        <f>AND(#REF!,"AAAAACr7dAg=")</f>
        <v>#REF!</v>
      </c>
      <c r="J37" t="e">
        <f>AND(#REF!,"AAAAACr7dAk=")</f>
        <v>#REF!</v>
      </c>
      <c r="K37" t="e">
        <f>AND(#REF!,"AAAAACr7dAo=")</f>
        <v>#REF!</v>
      </c>
      <c r="L37" t="e">
        <f>AND(#REF!,"AAAAACr7dAs=")</f>
        <v>#REF!</v>
      </c>
      <c r="M37" t="e">
        <f>AND(#REF!,"AAAAACr7dAw=")</f>
        <v>#REF!</v>
      </c>
      <c r="N37" t="e">
        <f>AND(#REF!,"AAAAACr7dA0=")</f>
        <v>#REF!</v>
      </c>
      <c r="O37" t="e">
        <f>AND(#REF!,"AAAAACr7dA4=")</f>
        <v>#REF!</v>
      </c>
      <c r="P37" t="e">
        <f>AND(#REF!,"AAAAACr7dA8=")</f>
        <v>#REF!</v>
      </c>
      <c r="Q37" t="e">
        <f>AND(#REF!,"AAAAACr7dBA=")</f>
        <v>#REF!</v>
      </c>
      <c r="R37" t="e">
        <f>AND(#REF!,"AAAAACr7dBE=")</f>
        <v>#REF!</v>
      </c>
      <c r="S37" t="e">
        <f>AND(#REF!,"AAAAACr7dBI=")</f>
        <v>#REF!</v>
      </c>
      <c r="T37" t="e">
        <f>AND(#REF!,"AAAAACr7dBM=")</f>
        <v>#REF!</v>
      </c>
      <c r="U37" t="e">
        <f>AND(#REF!,"AAAAACr7dBQ=")</f>
        <v>#REF!</v>
      </c>
      <c r="V37" t="e">
        <f>AND(#REF!,"AAAAACr7dBU=")</f>
        <v>#REF!</v>
      </c>
      <c r="W37" t="e">
        <f>AND(#REF!,"AAAAACr7dBY=")</f>
        <v>#REF!</v>
      </c>
      <c r="X37" t="e">
        <f>AND(#REF!,"AAAAACr7dBc=")</f>
        <v>#REF!</v>
      </c>
      <c r="Y37" t="e">
        <f>AND(#REF!,"AAAAACr7dBg=")</f>
        <v>#REF!</v>
      </c>
      <c r="Z37" t="e">
        <f>AND(#REF!,"AAAAACr7dBk=")</f>
        <v>#REF!</v>
      </c>
      <c r="AA37" t="e">
        <f>AND(#REF!,"AAAAACr7dBo=")</f>
        <v>#REF!</v>
      </c>
      <c r="AB37" t="e">
        <f>AND(#REF!,"AAAAACr7dBs=")</f>
        <v>#REF!</v>
      </c>
      <c r="AC37" t="e">
        <f>AND(#REF!,"AAAAACr7dBw=")</f>
        <v>#REF!</v>
      </c>
      <c r="AD37" t="e">
        <f>AND(#REF!,"AAAAACr7dB0=")</f>
        <v>#REF!</v>
      </c>
      <c r="AE37" t="e">
        <f>AND(#REF!,"AAAAACr7dB4=")</f>
        <v>#REF!</v>
      </c>
      <c r="AF37" t="e">
        <f>IF(#REF!,"AAAAACr7dB8=",0)</f>
        <v>#REF!</v>
      </c>
      <c r="AG37" t="e">
        <f>AND(#REF!,"AAAAACr7dCA=")</f>
        <v>#REF!</v>
      </c>
      <c r="AH37" t="e">
        <f>AND(#REF!,"AAAAACr7dCE=")</f>
        <v>#REF!</v>
      </c>
      <c r="AI37" t="e">
        <f>AND(#REF!,"AAAAACr7dCI=")</f>
        <v>#REF!</v>
      </c>
      <c r="AJ37" t="e">
        <f>AND(#REF!,"AAAAACr7dCM=")</f>
        <v>#REF!</v>
      </c>
      <c r="AK37" t="e">
        <f>AND(#REF!,"AAAAACr7dCQ=")</f>
        <v>#REF!</v>
      </c>
      <c r="AL37" t="e">
        <f>AND(#REF!,"AAAAACr7dCU=")</f>
        <v>#REF!</v>
      </c>
      <c r="AM37" t="e">
        <f>AND(#REF!,"AAAAACr7dCY=")</f>
        <v>#REF!</v>
      </c>
      <c r="AN37" t="e">
        <f>AND(#REF!,"AAAAACr7dCc=")</f>
        <v>#REF!</v>
      </c>
      <c r="AO37" t="e">
        <f>AND(#REF!,"AAAAACr7dCg=")</f>
        <v>#REF!</v>
      </c>
      <c r="AP37" t="e">
        <f>AND(#REF!,"AAAAACr7dCk=")</f>
        <v>#REF!</v>
      </c>
      <c r="AQ37" t="e">
        <f>AND(#REF!,"AAAAACr7dCo=")</f>
        <v>#REF!</v>
      </c>
      <c r="AR37" t="e">
        <f>AND(#REF!,"AAAAACr7dCs=")</f>
        <v>#REF!</v>
      </c>
      <c r="AS37" t="e">
        <f>AND(#REF!,"AAAAACr7dCw=")</f>
        <v>#REF!</v>
      </c>
      <c r="AT37" t="e">
        <f>AND(#REF!,"AAAAACr7dC0=")</f>
        <v>#REF!</v>
      </c>
      <c r="AU37" t="e">
        <f>AND(#REF!,"AAAAACr7dC4=")</f>
        <v>#REF!</v>
      </c>
      <c r="AV37" t="e">
        <f>AND(#REF!,"AAAAACr7dC8=")</f>
        <v>#REF!</v>
      </c>
      <c r="AW37" t="e">
        <f>AND(#REF!,"AAAAACr7dDA=")</f>
        <v>#REF!</v>
      </c>
      <c r="AX37" t="e">
        <f>AND(#REF!,"AAAAACr7dDE=")</f>
        <v>#REF!</v>
      </c>
      <c r="AY37" t="e">
        <f>AND(#REF!,"AAAAACr7dDI=")</f>
        <v>#REF!</v>
      </c>
      <c r="AZ37" t="e">
        <f>AND(#REF!,"AAAAACr7dDM=")</f>
        <v>#REF!</v>
      </c>
      <c r="BA37" t="e">
        <f>AND(#REF!,"AAAAACr7dDQ=")</f>
        <v>#REF!</v>
      </c>
      <c r="BB37" t="e">
        <f>AND(#REF!,"AAAAACr7dDU=")</f>
        <v>#REF!</v>
      </c>
      <c r="BC37" t="e">
        <f>AND(#REF!,"AAAAACr7dDY=")</f>
        <v>#REF!</v>
      </c>
      <c r="BD37" t="e">
        <f>AND(#REF!,"AAAAACr7dDc=")</f>
        <v>#REF!</v>
      </c>
      <c r="BE37" t="e">
        <f>AND(#REF!,"AAAAACr7dDg=")</f>
        <v>#REF!</v>
      </c>
      <c r="BF37" t="e">
        <f>AND(#REF!,"AAAAACr7dDk=")</f>
        <v>#REF!</v>
      </c>
      <c r="BG37" t="e">
        <f>AND(#REF!,"AAAAACr7dDo=")</f>
        <v>#REF!</v>
      </c>
      <c r="BH37" t="e">
        <f>AND(#REF!,"AAAAACr7dDs=")</f>
        <v>#REF!</v>
      </c>
      <c r="BI37" t="e">
        <f>AND(#REF!,"AAAAACr7dDw=")</f>
        <v>#REF!</v>
      </c>
      <c r="BJ37" t="e">
        <f>AND(#REF!,"AAAAACr7dD0=")</f>
        <v>#REF!</v>
      </c>
      <c r="BK37" t="e">
        <f>AND(#REF!,"AAAAACr7dD4=")</f>
        <v>#REF!</v>
      </c>
      <c r="BL37" t="e">
        <f>AND(#REF!,"AAAAACr7dD8=")</f>
        <v>#REF!</v>
      </c>
      <c r="BM37" t="e">
        <f>AND(#REF!,"AAAAACr7dEA=")</f>
        <v>#REF!</v>
      </c>
      <c r="BN37" t="e">
        <f>AND(#REF!,"AAAAACr7dEE=")</f>
        <v>#REF!</v>
      </c>
      <c r="BO37" t="e">
        <f>AND(#REF!,"AAAAACr7dEI=")</f>
        <v>#REF!</v>
      </c>
      <c r="BP37" t="e">
        <f>AND(#REF!,"AAAAACr7dEM=")</f>
        <v>#REF!</v>
      </c>
      <c r="BQ37" t="e">
        <f>AND(#REF!,"AAAAACr7dEQ=")</f>
        <v>#REF!</v>
      </c>
      <c r="BR37" t="e">
        <f>AND(#REF!,"AAAAACr7dEU=")</f>
        <v>#REF!</v>
      </c>
      <c r="BS37" t="e">
        <f>AND(#REF!,"AAAAACr7dEY=")</f>
        <v>#REF!</v>
      </c>
      <c r="BT37" t="e">
        <f>AND(#REF!,"AAAAACr7dEc=")</f>
        <v>#REF!</v>
      </c>
      <c r="BU37" t="e">
        <f>AND(#REF!,"AAAAACr7dEg=")</f>
        <v>#REF!</v>
      </c>
      <c r="BV37" t="e">
        <f>AND(#REF!,"AAAAACr7dEk=")</f>
        <v>#REF!</v>
      </c>
      <c r="BW37" t="e">
        <f>AND(#REF!,"AAAAACr7dEo=")</f>
        <v>#REF!</v>
      </c>
      <c r="BX37" t="e">
        <f>AND(#REF!,"AAAAACr7dEs=")</f>
        <v>#REF!</v>
      </c>
      <c r="BY37" t="e">
        <f>AND(#REF!,"AAAAACr7dEw=")</f>
        <v>#REF!</v>
      </c>
      <c r="BZ37" t="e">
        <f>AND(#REF!,"AAAAACr7dE0=")</f>
        <v>#REF!</v>
      </c>
      <c r="CA37" t="e">
        <f>AND(#REF!,"AAAAACr7dE4=")</f>
        <v>#REF!</v>
      </c>
      <c r="CB37" t="e">
        <f>AND(#REF!,"AAAAACr7dE8=")</f>
        <v>#REF!</v>
      </c>
      <c r="CC37" t="e">
        <f>AND(#REF!,"AAAAACr7dFA=")</f>
        <v>#REF!</v>
      </c>
      <c r="CD37" t="e">
        <f>AND(#REF!,"AAAAACr7dFE=")</f>
        <v>#REF!</v>
      </c>
      <c r="CE37" t="e">
        <f>AND(#REF!,"AAAAACr7dFI=")</f>
        <v>#REF!</v>
      </c>
      <c r="CF37" t="e">
        <f>AND(#REF!,"AAAAACr7dFM=")</f>
        <v>#REF!</v>
      </c>
      <c r="CG37" t="e">
        <f>AND(#REF!,"AAAAACr7dFQ=")</f>
        <v>#REF!</v>
      </c>
      <c r="CH37" t="e">
        <f>AND(#REF!,"AAAAACr7dFU=")</f>
        <v>#REF!</v>
      </c>
      <c r="CI37" t="e">
        <f>AND(#REF!,"AAAAACr7dFY=")</f>
        <v>#REF!</v>
      </c>
      <c r="CJ37" t="e">
        <f>AND(#REF!,"AAAAACr7dFc=")</f>
        <v>#REF!</v>
      </c>
      <c r="CK37" t="e">
        <f>AND(#REF!,"AAAAACr7dFg=")</f>
        <v>#REF!</v>
      </c>
      <c r="CL37" t="e">
        <f>AND(#REF!,"AAAAACr7dFk=")</f>
        <v>#REF!</v>
      </c>
      <c r="CM37" t="e">
        <f>AND(#REF!,"AAAAACr7dFo=")</f>
        <v>#REF!</v>
      </c>
      <c r="CN37" t="e">
        <f>AND(#REF!,"AAAAACr7dFs=")</f>
        <v>#REF!</v>
      </c>
      <c r="CO37" t="e">
        <f>AND(#REF!,"AAAAACr7dFw=")</f>
        <v>#REF!</v>
      </c>
      <c r="CP37" t="e">
        <f>AND(#REF!,"AAAAACr7dF0=")</f>
        <v>#REF!</v>
      </c>
      <c r="CQ37" t="e">
        <f>AND(#REF!,"AAAAACr7dF4=")</f>
        <v>#REF!</v>
      </c>
      <c r="CR37" t="e">
        <f>AND(#REF!,"AAAAACr7dF8=")</f>
        <v>#REF!</v>
      </c>
      <c r="CS37" t="e">
        <f>AND(#REF!,"AAAAACr7dGA=")</f>
        <v>#REF!</v>
      </c>
      <c r="CT37" t="e">
        <f>AND(#REF!,"AAAAACr7dGE=")</f>
        <v>#REF!</v>
      </c>
      <c r="CU37" t="e">
        <f>AND(#REF!,"AAAAACr7dGI=")</f>
        <v>#REF!</v>
      </c>
      <c r="CV37" t="e">
        <f>AND(#REF!,"AAAAACr7dGM=")</f>
        <v>#REF!</v>
      </c>
      <c r="CW37" t="e">
        <f>AND(#REF!,"AAAAACr7dGQ=")</f>
        <v>#REF!</v>
      </c>
      <c r="CX37" t="e">
        <f>AND(#REF!,"AAAAACr7dGU=")</f>
        <v>#REF!</v>
      </c>
      <c r="CY37" t="e">
        <f>AND(#REF!,"AAAAACr7dGY=")</f>
        <v>#REF!</v>
      </c>
      <c r="CZ37" t="e">
        <f>AND(#REF!,"AAAAACr7dGc=")</f>
        <v>#REF!</v>
      </c>
      <c r="DA37" t="e">
        <f>AND(#REF!,"AAAAACr7dGg=")</f>
        <v>#REF!</v>
      </c>
      <c r="DB37" t="e">
        <f>AND(#REF!,"AAAAACr7dGk=")</f>
        <v>#REF!</v>
      </c>
      <c r="DC37" t="e">
        <f>AND(#REF!,"AAAAACr7dGo=")</f>
        <v>#REF!</v>
      </c>
      <c r="DD37" t="e">
        <f>AND(#REF!,"AAAAACr7dGs=")</f>
        <v>#REF!</v>
      </c>
      <c r="DE37" t="e">
        <f>AND(#REF!,"AAAAACr7dGw=")</f>
        <v>#REF!</v>
      </c>
      <c r="DF37" t="e">
        <f>AND(#REF!,"AAAAACr7dG0=")</f>
        <v>#REF!</v>
      </c>
      <c r="DG37" t="e">
        <f>AND(#REF!,"AAAAACr7dG4=")</f>
        <v>#REF!</v>
      </c>
      <c r="DH37" t="e">
        <f>AND(#REF!,"AAAAACr7dG8=")</f>
        <v>#REF!</v>
      </c>
      <c r="DI37" t="e">
        <f>AND(#REF!,"AAAAACr7dHA=")</f>
        <v>#REF!</v>
      </c>
      <c r="DJ37" t="e">
        <f>AND(#REF!,"AAAAACr7dHE=")</f>
        <v>#REF!</v>
      </c>
      <c r="DK37" t="e">
        <f>AND(#REF!,"AAAAACr7dHI=")</f>
        <v>#REF!</v>
      </c>
      <c r="DL37" t="e">
        <f>AND(#REF!,"AAAAACr7dHM=")</f>
        <v>#REF!</v>
      </c>
      <c r="DM37" t="e">
        <f>AND(#REF!,"AAAAACr7dHQ=")</f>
        <v>#REF!</v>
      </c>
      <c r="DN37" t="e">
        <f>AND(#REF!,"AAAAACr7dHU=")</f>
        <v>#REF!</v>
      </c>
      <c r="DO37" t="e">
        <f>AND(#REF!,"AAAAACr7dHY=")</f>
        <v>#REF!</v>
      </c>
      <c r="DP37" t="e">
        <f>AND(#REF!,"AAAAACr7dHc=")</f>
        <v>#REF!</v>
      </c>
      <c r="DQ37" t="e">
        <f>AND(#REF!,"AAAAACr7dHg=")</f>
        <v>#REF!</v>
      </c>
      <c r="DR37" t="e">
        <f>AND(#REF!,"AAAAACr7dHk=")</f>
        <v>#REF!</v>
      </c>
      <c r="DS37" t="e">
        <f>AND(#REF!,"AAAAACr7dHo=")</f>
        <v>#REF!</v>
      </c>
      <c r="DT37" t="e">
        <f>AND(#REF!,"AAAAACr7dHs=")</f>
        <v>#REF!</v>
      </c>
      <c r="DU37" t="e">
        <f>AND(#REF!,"AAAAACr7dHw=")</f>
        <v>#REF!</v>
      </c>
      <c r="DV37" t="e">
        <f>AND(#REF!,"AAAAACr7dH0=")</f>
        <v>#REF!</v>
      </c>
      <c r="DW37" t="e">
        <f>AND(#REF!,"AAAAACr7dH4=")</f>
        <v>#REF!</v>
      </c>
      <c r="DX37" t="e">
        <f>AND(#REF!,"AAAAACr7dH8=")</f>
        <v>#REF!</v>
      </c>
      <c r="DY37" t="e">
        <f>AND(#REF!,"AAAAACr7dIA=")</f>
        <v>#REF!</v>
      </c>
      <c r="DZ37" t="e">
        <f>AND(#REF!,"AAAAACr7dIE=")</f>
        <v>#REF!</v>
      </c>
      <c r="EA37" t="e">
        <f>AND(#REF!,"AAAAACr7dII=")</f>
        <v>#REF!</v>
      </c>
      <c r="EB37" t="e">
        <f>AND(#REF!,"AAAAACr7dIM=")</f>
        <v>#REF!</v>
      </c>
      <c r="EC37" t="e">
        <f>AND(#REF!,"AAAAACr7dIQ=")</f>
        <v>#REF!</v>
      </c>
      <c r="ED37" t="e">
        <f>AND(#REF!,"AAAAACr7dIU=")</f>
        <v>#REF!</v>
      </c>
      <c r="EE37" t="e">
        <f>AND(#REF!,"AAAAACr7dIY=")</f>
        <v>#REF!</v>
      </c>
      <c r="EF37" t="e">
        <f>AND(#REF!,"AAAAACr7dIc=")</f>
        <v>#REF!</v>
      </c>
      <c r="EG37" t="e">
        <f>AND(#REF!,"AAAAACr7dIg=")</f>
        <v>#REF!</v>
      </c>
      <c r="EH37" t="e">
        <f>AND(#REF!,"AAAAACr7dIk=")</f>
        <v>#REF!</v>
      </c>
      <c r="EI37" t="e">
        <f>AND(#REF!,"AAAAACr7dIo=")</f>
        <v>#REF!</v>
      </c>
      <c r="EJ37" t="e">
        <f>AND(#REF!,"AAAAACr7dIs=")</f>
        <v>#REF!</v>
      </c>
      <c r="EK37" t="e">
        <f>AND(#REF!,"AAAAACr7dIw=")</f>
        <v>#REF!</v>
      </c>
      <c r="EL37" t="e">
        <f>AND(#REF!,"AAAAACr7dI0=")</f>
        <v>#REF!</v>
      </c>
      <c r="EM37" t="e">
        <f>AND(#REF!,"AAAAACr7dI4=")</f>
        <v>#REF!</v>
      </c>
      <c r="EN37" t="e">
        <f>AND(#REF!,"AAAAACr7dI8=")</f>
        <v>#REF!</v>
      </c>
      <c r="EO37" t="e">
        <f>AND(#REF!,"AAAAACr7dJA=")</f>
        <v>#REF!</v>
      </c>
      <c r="EP37" t="e">
        <f>AND(#REF!,"AAAAACr7dJE=")</f>
        <v>#REF!</v>
      </c>
      <c r="EQ37" t="e">
        <f>AND(#REF!,"AAAAACr7dJI=")</f>
        <v>#REF!</v>
      </c>
      <c r="ER37" t="e">
        <f>AND(#REF!,"AAAAACr7dJM=")</f>
        <v>#REF!</v>
      </c>
      <c r="ES37" t="e">
        <f>AND(#REF!,"AAAAACr7dJQ=")</f>
        <v>#REF!</v>
      </c>
      <c r="ET37" t="e">
        <f>AND(#REF!,"AAAAACr7dJU=")</f>
        <v>#REF!</v>
      </c>
      <c r="EU37" t="e">
        <f>AND(#REF!,"AAAAACr7dJY=")</f>
        <v>#REF!</v>
      </c>
      <c r="EV37" t="e">
        <f>AND(#REF!,"AAAAACr7dJc=")</f>
        <v>#REF!</v>
      </c>
      <c r="EW37" t="e">
        <f>AND(#REF!,"AAAAACr7dJg=")</f>
        <v>#REF!</v>
      </c>
      <c r="EX37" t="e">
        <f>AND(#REF!,"AAAAACr7dJk=")</f>
        <v>#REF!</v>
      </c>
      <c r="EY37" t="e">
        <f>AND(#REF!,"AAAAACr7dJo=")</f>
        <v>#REF!</v>
      </c>
      <c r="EZ37" t="e">
        <f>AND(#REF!,"AAAAACr7dJs=")</f>
        <v>#REF!</v>
      </c>
      <c r="FA37" t="e">
        <f>AND(#REF!,"AAAAACr7dJw=")</f>
        <v>#REF!</v>
      </c>
      <c r="FB37" t="e">
        <f>AND(#REF!,"AAAAACr7dJ0=")</f>
        <v>#REF!</v>
      </c>
      <c r="FC37" t="e">
        <f>AND(#REF!,"AAAAACr7dJ4=")</f>
        <v>#REF!</v>
      </c>
      <c r="FD37" t="e">
        <f>AND(#REF!,"AAAAACr7dJ8=")</f>
        <v>#REF!</v>
      </c>
      <c r="FE37" t="e">
        <f>AND(#REF!,"AAAAACr7dKA=")</f>
        <v>#REF!</v>
      </c>
      <c r="FF37" t="e">
        <f>AND(#REF!,"AAAAACr7dKE=")</f>
        <v>#REF!</v>
      </c>
      <c r="FG37" t="e">
        <f>AND(#REF!,"AAAAACr7dKI=")</f>
        <v>#REF!</v>
      </c>
      <c r="FH37" t="e">
        <f>AND(#REF!,"AAAAACr7dKM=")</f>
        <v>#REF!</v>
      </c>
      <c r="FI37" t="e">
        <f>AND(#REF!,"AAAAACr7dKQ=")</f>
        <v>#REF!</v>
      </c>
      <c r="FJ37" t="e">
        <f>AND(#REF!,"AAAAACr7dKU=")</f>
        <v>#REF!</v>
      </c>
      <c r="FK37" t="e">
        <f>AND(#REF!,"AAAAACr7dKY=")</f>
        <v>#REF!</v>
      </c>
      <c r="FL37" t="e">
        <f>IF(#REF!,"AAAAACr7dKc=",0)</f>
        <v>#REF!</v>
      </c>
      <c r="FM37" t="e">
        <f>AND(#REF!,"AAAAACr7dKg=")</f>
        <v>#REF!</v>
      </c>
      <c r="FN37" t="e">
        <f>AND(#REF!,"AAAAACr7dKk=")</f>
        <v>#REF!</v>
      </c>
      <c r="FO37" t="e">
        <f>AND(#REF!,"AAAAACr7dKo=")</f>
        <v>#REF!</v>
      </c>
      <c r="FP37" t="e">
        <f>AND(#REF!,"AAAAACr7dKs=")</f>
        <v>#REF!</v>
      </c>
      <c r="FQ37" t="e">
        <f>AND(#REF!,"AAAAACr7dKw=")</f>
        <v>#REF!</v>
      </c>
      <c r="FR37" t="e">
        <f>AND(#REF!,"AAAAACr7dK0=")</f>
        <v>#REF!</v>
      </c>
      <c r="FS37" t="e">
        <f>AND(#REF!,"AAAAACr7dK4=")</f>
        <v>#REF!</v>
      </c>
      <c r="FT37" t="e">
        <f>AND(#REF!,"AAAAACr7dK8=")</f>
        <v>#REF!</v>
      </c>
      <c r="FU37" t="e">
        <f>AND(#REF!,"AAAAACr7dLA=")</f>
        <v>#REF!</v>
      </c>
      <c r="FV37" t="e">
        <f>AND(#REF!,"AAAAACr7dLE=")</f>
        <v>#REF!</v>
      </c>
      <c r="FW37" t="e">
        <f>AND(#REF!,"AAAAACr7dLI=")</f>
        <v>#REF!</v>
      </c>
      <c r="FX37" t="e">
        <f>AND(#REF!,"AAAAACr7dLM=")</f>
        <v>#REF!</v>
      </c>
      <c r="FY37" t="e">
        <f>AND(#REF!,"AAAAACr7dLQ=")</f>
        <v>#REF!</v>
      </c>
      <c r="FZ37" t="e">
        <f>AND(#REF!,"AAAAACr7dLU=")</f>
        <v>#REF!</v>
      </c>
      <c r="GA37" t="e">
        <f>AND(#REF!,"AAAAACr7dLY=")</f>
        <v>#REF!</v>
      </c>
      <c r="GB37" t="e">
        <f>AND(#REF!,"AAAAACr7dLc=")</f>
        <v>#REF!</v>
      </c>
      <c r="GC37" t="e">
        <f>AND(#REF!,"AAAAACr7dLg=")</f>
        <v>#REF!</v>
      </c>
      <c r="GD37" t="e">
        <f>AND(#REF!,"AAAAACr7dLk=")</f>
        <v>#REF!</v>
      </c>
      <c r="GE37" t="e">
        <f>AND(#REF!,"AAAAACr7dLo=")</f>
        <v>#REF!</v>
      </c>
      <c r="GF37" t="e">
        <f>AND(#REF!,"AAAAACr7dLs=")</f>
        <v>#REF!</v>
      </c>
      <c r="GG37" t="e">
        <f>AND(#REF!,"AAAAACr7dLw=")</f>
        <v>#REF!</v>
      </c>
      <c r="GH37" t="e">
        <f>AND(#REF!,"AAAAACr7dL0=")</f>
        <v>#REF!</v>
      </c>
      <c r="GI37" t="e">
        <f>AND(#REF!,"AAAAACr7dL4=")</f>
        <v>#REF!</v>
      </c>
      <c r="GJ37" t="e">
        <f>AND(#REF!,"AAAAACr7dL8=")</f>
        <v>#REF!</v>
      </c>
      <c r="GK37" t="e">
        <f>AND(#REF!,"AAAAACr7dMA=")</f>
        <v>#REF!</v>
      </c>
      <c r="GL37" t="e">
        <f>AND(#REF!,"AAAAACr7dME=")</f>
        <v>#REF!</v>
      </c>
      <c r="GM37" t="e">
        <f>AND(#REF!,"AAAAACr7dMI=")</f>
        <v>#REF!</v>
      </c>
      <c r="GN37" t="e">
        <f>AND(#REF!,"AAAAACr7dMM=")</f>
        <v>#REF!</v>
      </c>
      <c r="GO37" t="e">
        <f>AND(#REF!,"AAAAACr7dMQ=")</f>
        <v>#REF!</v>
      </c>
      <c r="GP37" t="e">
        <f>AND(#REF!,"AAAAACr7dMU=")</f>
        <v>#REF!</v>
      </c>
      <c r="GQ37" t="e">
        <f>AND(#REF!,"AAAAACr7dMY=")</f>
        <v>#REF!</v>
      </c>
      <c r="GR37" t="e">
        <f>AND(#REF!,"AAAAACr7dMc=")</f>
        <v>#REF!</v>
      </c>
      <c r="GS37" t="e">
        <f>AND(#REF!,"AAAAACr7dMg=")</f>
        <v>#REF!</v>
      </c>
      <c r="GT37" t="e">
        <f>AND(#REF!,"AAAAACr7dMk=")</f>
        <v>#REF!</v>
      </c>
      <c r="GU37" t="e">
        <f>AND(#REF!,"AAAAACr7dMo=")</f>
        <v>#REF!</v>
      </c>
      <c r="GV37" t="e">
        <f>AND(#REF!,"AAAAACr7dMs=")</f>
        <v>#REF!</v>
      </c>
      <c r="GW37" t="e">
        <f>AND(#REF!,"AAAAACr7dMw=")</f>
        <v>#REF!</v>
      </c>
      <c r="GX37" t="e">
        <f>AND(#REF!,"AAAAACr7dM0=")</f>
        <v>#REF!</v>
      </c>
      <c r="GY37" t="e">
        <f>AND(#REF!,"AAAAACr7dM4=")</f>
        <v>#REF!</v>
      </c>
      <c r="GZ37" t="e">
        <f>AND(#REF!,"AAAAACr7dM8=")</f>
        <v>#REF!</v>
      </c>
      <c r="HA37" t="e">
        <f>AND(#REF!,"AAAAACr7dNA=")</f>
        <v>#REF!</v>
      </c>
      <c r="HB37" t="e">
        <f>AND(#REF!,"AAAAACr7dNE=")</f>
        <v>#REF!</v>
      </c>
      <c r="HC37" t="e">
        <f>AND(#REF!,"AAAAACr7dNI=")</f>
        <v>#REF!</v>
      </c>
      <c r="HD37" t="e">
        <f>AND(#REF!,"AAAAACr7dNM=")</f>
        <v>#REF!</v>
      </c>
      <c r="HE37" t="e">
        <f>AND(#REF!,"AAAAACr7dNQ=")</f>
        <v>#REF!</v>
      </c>
      <c r="HF37" t="e">
        <f>AND(#REF!,"AAAAACr7dNU=")</f>
        <v>#REF!</v>
      </c>
      <c r="HG37" t="e">
        <f>AND(#REF!,"AAAAACr7dNY=")</f>
        <v>#REF!</v>
      </c>
      <c r="HH37" t="e">
        <f>AND(#REF!,"AAAAACr7dNc=")</f>
        <v>#REF!</v>
      </c>
      <c r="HI37" t="e">
        <f>AND(#REF!,"AAAAACr7dNg=")</f>
        <v>#REF!</v>
      </c>
      <c r="HJ37" t="e">
        <f>AND(#REF!,"AAAAACr7dNk=")</f>
        <v>#REF!</v>
      </c>
      <c r="HK37" t="e">
        <f>AND(#REF!,"AAAAACr7dNo=")</f>
        <v>#REF!</v>
      </c>
      <c r="HL37" t="e">
        <f>AND(#REF!,"AAAAACr7dNs=")</f>
        <v>#REF!</v>
      </c>
      <c r="HM37" t="e">
        <f>AND(#REF!,"AAAAACr7dNw=")</f>
        <v>#REF!</v>
      </c>
      <c r="HN37" t="e">
        <f>AND(#REF!,"AAAAACr7dN0=")</f>
        <v>#REF!</v>
      </c>
      <c r="HO37" t="e">
        <f>AND(#REF!,"AAAAACr7dN4=")</f>
        <v>#REF!</v>
      </c>
      <c r="HP37" t="e">
        <f>AND(#REF!,"AAAAACr7dN8=")</f>
        <v>#REF!</v>
      </c>
      <c r="HQ37" t="e">
        <f>AND(#REF!,"AAAAACr7dOA=")</f>
        <v>#REF!</v>
      </c>
      <c r="HR37" t="e">
        <f>AND(#REF!,"AAAAACr7dOE=")</f>
        <v>#REF!</v>
      </c>
      <c r="HS37" t="e">
        <f>AND(#REF!,"AAAAACr7dOI=")</f>
        <v>#REF!</v>
      </c>
      <c r="HT37" t="e">
        <f>AND(#REF!,"AAAAACr7dOM=")</f>
        <v>#REF!</v>
      </c>
      <c r="HU37" t="e">
        <f>AND(#REF!,"AAAAACr7dOQ=")</f>
        <v>#REF!</v>
      </c>
      <c r="HV37" t="e">
        <f>AND(#REF!,"AAAAACr7dOU=")</f>
        <v>#REF!</v>
      </c>
      <c r="HW37" t="e">
        <f>AND(#REF!,"AAAAACr7dOY=")</f>
        <v>#REF!</v>
      </c>
      <c r="HX37" t="e">
        <f>AND(#REF!,"AAAAACr7dOc=")</f>
        <v>#REF!</v>
      </c>
      <c r="HY37" t="e">
        <f>AND(#REF!,"AAAAACr7dOg=")</f>
        <v>#REF!</v>
      </c>
      <c r="HZ37" t="e">
        <f>AND(#REF!,"AAAAACr7dOk=")</f>
        <v>#REF!</v>
      </c>
      <c r="IA37" t="e">
        <f>AND(#REF!,"AAAAACr7dOo=")</f>
        <v>#REF!</v>
      </c>
      <c r="IB37" t="e">
        <f>AND(#REF!,"AAAAACr7dOs=")</f>
        <v>#REF!</v>
      </c>
      <c r="IC37" t="e">
        <f>AND(#REF!,"AAAAACr7dOw=")</f>
        <v>#REF!</v>
      </c>
      <c r="ID37" t="e">
        <f>AND(#REF!,"AAAAACr7dO0=")</f>
        <v>#REF!</v>
      </c>
      <c r="IE37" t="e">
        <f>AND(#REF!,"AAAAACr7dO4=")</f>
        <v>#REF!</v>
      </c>
      <c r="IF37" t="e">
        <f>AND(#REF!,"AAAAACr7dO8=")</f>
        <v>#REF!</v>
      </c>
      <c r="IG37" t="e">
        <f>AND(#REF!,"AAAAACr7dPA=")</f>
        <v>#REF!</v>
      </c>
      <c r="IH37" t="e">
        <f>AND(#REF!,"AAAAACr7dPE=")</f>
        <v>#REF!</v>
      </c>
      <c r="II37" t="e">
        <f>AND(#REF!,"AAAAACr7dPI=")</f>
        <v>#REF!</v>
      </c>
      <c r="IJ37" t="e">
        <f>AND(#REF!,"AAAAACr7dPM=")</f>
        <v>#REF!</v>
      </c>
      <c r="IK37" t="e">
        <f>AND(#REF!,"AAAAACr7dPQ=")</f>
        <v>#REF!</v>
      </c>
      <c r="IL37" t="e">
        <f>AND(#REF!,"AAAAACr7dPU=")</f>
        <v>#REF!</v>
      </c>
      <c r="IM37" t="e">
        <f>AND(#REF!,"AAAAACr7dPY=")</f>
        <v>#REF!</v>
      </c>
      <c r="IN37" t="e">
        <f>AND(#REF!,"AAAAACr7dPc=")</f>
        <v>#REF!</v>
      </c>
      <c r="IO37" t="e">
        <f>AND(#REF!,"AAAAACr7dPg=")</f>
        <v>#REF!</v>
      </c>
      <c r="IP37" t="e">
        <f>AND(#REF!,"AAAAACr7dPk=")</f>
        <v>#REF!</v>
      </c>
      <c r="IQ37" t="e">
        <f>AND(#REF!,"AAAAACr7dPo=")</f>
        <v>#REF!</v>
      </c>
      <c r="IR37" t="e">
        <f>AND(#REF!,"AAAAACr7dPs=")</f>
        <v>#REF!</v>
      </c>
      <c r="IS37" t="e">
        <f>AND(#REF!,"AAAAACr7dPw=")</f>
        <v>#REF!</v>
      </c>
      <c r="IT37" t="e">
        <f>AND(#REF!,"AAAAACr7dP0=")</f>
        <v>#REF!</v>
      </c>
      <c r="IU37" t="e">
        <f>AND(#REF!,"AAAAACr7dP4=")</f>
        <v>#REF!</v>
      </c>
      <c r="IV37" t="e">
        <f>AND(#REF!,"AAAAACr7dP8=")</f>
        <v>#REF!</v>
      </c>
    </row>
    <row r="38" spans="1:256" ht="15">
      <c r="A38" t="e">
        <f>AND(#REF!,"AAAAAHn57QA=")</f>
        <v>#REF!</v>
      </c>
      <c r="B38" t="e">
        <f>AND(#REF!,"AAAAAHn57QE=")</f>
        <v>#REF!</v>
      </c>
      <c r="C38" t="e">
        <f>AND(#REF!,"AAAAAHn57QI=")</f>
        <v>#REF!</v>
      </c>
      <c r="D38" t="e">
        <f>AND(#REF!,"AAAAAHn57QM=")</f>
        <v>#REF!</v>
      </c>
      <c r="E38" t="e">
        <f>AND(#REF!,"AAAAAHn57QQ=")</f>
        <v>#REF!</v>
      </c>
      <c r="F38" t="e">
        <f>AND(#REF!,"AAAAAHn57QU=")</f>
        <v>#REF!</v>
      </c>
      <c r="G38" t="e">
        <f>AND(#REF!,"AAAAAHn57QY=")</f>
        <v>#REF!</v>
      </c>
      <c r="H38" t="e">
        <f>AND(#REF!,"AAAAAHn57Qc=")</f>
        <v>#REF!</v>
      </c>
      <c r="I38" t="e">
        <f>AND(#REF!,"AAAAAHn57Qg=")</f>
        <v>#REF!</v>
      </c>
      <c r="J38" t="e">
        <f>AND(#REF!,"AAAAAHn57Qk=")</f>
        <v>#REF!</v>
      </c>
      <c r="K38" t="e">
        <f>AND(#REF!,"AAAAAHn57Qo=")</f>
        <v>#REF!</v>
      </c>
      <c r="L38" t="e">
        <f>AND(#REF!,"AAAAAHn57Qs=")</f>
        <v>#REF!</v>
      </c>
      <c r="M38" t="e">
        <f>AND(#REF!,"AAAAAHn57Qw=")</f>
        <v>#REF!</v>
      </c>
      <c r="N38" t="e">
        <f>AND(#REF!,"AAAAAHn57Q0=")</f>
        <v>#REF!</v>
      </c>
      <c r="O38" t="e">
        <f>AND(#REF!,"AAAAAHn57Q4=")</f>
        <v>#REF!</v>
      </c>
      <c r="P38" t="e">
        <f>AND(#REF!,"AAAAAHn57Q8=")</f>
        <v>#REF!</v>
      </c>
      <c r="Q38" t="e">
        <f>AND(#REF!,"AAAAAHn57RA=")</f>
        <v>#REF!</v>
      </c>
      <c r="R38" t="e">
        <f>AND(#REF!,"AAAAAHn57RE=")</f>
        <v>#REF!</v>
      </c>
      <c r="S38" t="e">
        <f>AND(#REF!,"AAAAAHn57RI=")</f>
        <v>#REF!</v>
      </c>
      <c r="T38" t="e">
        <f>AND(#REF!,"AAAAAHn57RM=")</f>
        <v>#REF!</v>
      </c>
      <c r="U38" t="e">
        <f>AND(#REF!,"AAAAAHn57RQ=")</f>
        <v>#REF!</v>
      </c>
      <c r="V38" t="e">
        <f>AND(#REF!,"AAAAAHn57RU=")</f>
        <v>#REF!</v>
      </c>
      <c r="W38" t="e">
        <f>AND(#REF!,"AAAAAHn57RY=")</f>
        <v>#REF!</v>
      </c>
      <c r="X38" t="e">
        <f>AND(#REF!,"AAAAAHn57Rc=")</f>
        <v>#REF!</v>
      </c>
      <c r="Y38" t="e">
        <f>AND(#REF!,"AAAAAHn57Rg=")</f>
        <v>#REF!</v>
      </c>
      <c r="Z38" t="e">
        <f>AND(#REF!,"AAAAAHn57Rk=")</f>
        <v>#REF!</v>
      </c>
      <c r="AA38" t="e">
        <f>AND(#REF!,"AAAAAHn57Ro=")</f>
        <v>#REF!</v>
      </c>
      <c r="AB38" t="e">
        <f>AND(#REF!,"AAAAAHn57Rs=")</f>
        <v>#REF!</v>
      </c>
      <c r="AC38" t="e">
        <f>AND(#REF!,"AAAAAHn57Rw=")</f>
        <v>#REF!</v>
      </c>
      <c r="AD38" t="e">
        <f>AND(#REF!,"AAAAAHn57R0=")</f>
        <v>#REF!</v>
      </c>
      <c r="AE38" t="e">
        <f>AND(#REF!,"AAAAAHn57R4=")</f>
        <v>#REF!</v>
      </c>
      <c r="AF38" t="e">
        <f>AND(#REF!,"AAAAAHn57R8=")</f>
        <v>#REF!</v>
      </c>
      <c r="AG38" t="e">
        <f>AND(#REF!,"AAAAAHn57SA=")</f>
        <v>#REF!</v>
      </c>
      <c r="AH38" t="e">
        <f>AND(#REF!,"AAAAAHn57SE=")</f>
        <v>#REF!</v>
      </c>
      <c r="AI38" t="e">
        <f>AND(#REF!,"AAAAAHn57SI=")</f>
        <v>#REF!</v>
      </c>
      <c r="AJ38" t="e">
        <f>AND(#REF!,"AAAAAHn57SM=")</f>
        <v>#REF!</v>
      </c>
      <c r="AK38" t="e">
        <f>AND(#REF!,"AAAAAHn57SQ=")</f>
        <v>#REF!</v>
      </c>
      <c r="AL38" t="e">
        <f>AND(#REF!,"AAAAAHn57SU=")</f>
        <v>#REF!</v>
      </c>
      <c r="AM38" t="e">
        <f>AND(#REF!,"AAAAAHn57SY=")</f>
        <v>#REF!</v>
      </c>
      <c r="AN38" t="e">
        <f>AND(#REF!,"AAAAAHn57Sc=")</f>
        <v>#REF!</v>
      </c>
      <c r="AO38" t="e">
        <f>AND(#REF!,"AAAAAHn57Sg=")</f>
        <v>#REF!</v>
      </c>
      <c r="AP38" t="e">
        <f>AND(#REF!,"AAAAAHn57Sk=")</f>
        <v>#REF!</v>
      </c>
      <c r="AQ38" t="e">
        <f>AND(#REF!,"AAAAAHn57So=")</f>
        <v>#REF!</v>
      </c>
      <c r="AR38" t="e">
        <f>AND(#REF!,"AAAAAHn57Ss=")</f>
        <v>#REF!</v>
      </c>
      <c r="AS38" t="e">
        <f>AND(#REF!,"AAAAAHn57Sw=")</f>
        <v>#REF!</v>
      </c>
      <c r="AT38" t="e">
        <f>AND(#REF!,"AAAAAHn57S0=")</f>
        <v>#REF!</v>
      </c>
      <c r="AU38" t="e">
        <f>AND(#REF!,"AAAAAHn57S4=")</f>
        <v>#REF!</v>
      </c>
      <c r="AV38" t="e">
        <f>IF(#REF!,"AAAAAHn57S8=",0)</f>
        <v>#REF!</v>
      </c>
      <c r="AW38" t="e">
        <f>AND(#REF!,"AAAAAHn57TA=")</f>
        <v>#REF!</v>
      </c>
      <c r="AX38" t="e">
        <f>AND(#REF!,"AAAAAHn57TE=")</f>
        <v>#REF!</v>
      </c>
      <c r="AY38" t="e">
        <f>AND(#REF!,"AAAAAHn57TI=")</f>
        <v>#REF!</v>
      </c>
      <c r="AZ38" t="e">
        <f>AND(#REF!,"AAAAAHn57TM=")</f>
        <v>#REF!</v>
      </c>
      <c r="BA38" t="e">
        <f>AND(#REF!,"AAAAAHn57TQ=")</f>
        <v>#REF!</v>
      </c>
      <c r="BB38" t="e">
        <f>AND(#REF!,"AAAAAHn57TU=")</f>
        <v>#REF!</v>
      </c>
      <c r="BC38" t="e">
        <f>AND(#REF!,"AAAAAHn57TY=")</f>
        <v>#REF!</v>
      </c>
      <c r="BD38" t="e">
        <f>AND(#REF!,"AAAAAHn57Tc=")</f>
        <v>#REF!</v>
      </c>
      <c r="BE38" t="e">
        <f>AND(#REF!,"AAAAAHn57Tg=")</f>
        <v>#REF!</v>
      </c>
      <c r="BF38" t="e">
        <f>AND(#REF!,"AAAAAHn57Tk=")</f>
        <v>#REF!</v>
      </c>
      <c r="BG38" t="e">
        <f>AND(#REF!,"AAAAAHn57To=")</f>
        <v>#REF!</v>
      </c>
      <c r="BH38" t="e">
        <f>AND(#REF!,"AAAAAHn57Ts=")</f>
        <v>#REF!</v>
      </c>
      <c r="BI38" t="e">
        <f>AND(#REF!,"AAAAAHn57Tw=")</f>
        <v>#REF!</v>
      </c>
      <c r="BJ38" t="e">
        <f>AND(#REF!,"AAAAAHn57T0=")</f>
        <v>#REF!</v>
      </c>
      <c r="BK38" t="e">
        <f>AND(#REF!,"AAAAAHn57T4=")</f>
        <v>#REF!</v>
      </c>
      <c r="BL38" t="e">
        <f>AND(#REF!,"AAAAAHn57T8=")</f>
        <v>#REF!</v>
      </c>
      <c r="BM38" t="e">
        <f>AND(#REF!,"AAAAAHn57UA=")</f>
        <v>#REF!</v>
      </c>
      <c r="BN38" t="e">
        <f>AND(#REF!,"AAAAAHn57UE=")</f>
        <v>#REF!</v>
      </c>
      <c r="BO38" t="e">
        <f>AND(#REF!,"AAAAAHn57UI=")</f>
        <v>#REF!</v>
      </c>
      <c r="BP38" t="e">
        <f>AND(#REF!,"AAAAAHn57UM=")</f>
        <v>#REF!</v>
      </c>
      <c r="BQ38" t="e">
        <f>AND(#REF!,"AAAAAHn57UQ=")</f>
        <v>#REF!</v>
      </c>
      <c r="BR38" t="e">
        <f>AND(#REF!,"AAAAAHn57UU=")</f>
        <v>#REF!</v>
      </c>
      <c r="BS38" t="e">
        <f>AND(#REF!,"AAAAAHn57UY=")</f>
        <v>#REF!</v>
      </c>
      <c r="BT38" t="e">
        <f>AND(#REF!,"AAAAAHn57Uc=")</f>
        <v>#REF!</v>
      </c>
      <c r="BU38" t="e">
        <f>AND(#REF!,"AAAAAHn57Ug=")</f>
        <v>#REF!</v>
      </c>
      <c r="BV38" t="e">
        <f>AND(#REF!,"AAAAAHn57Uk=")</f>
        <v>#REF!</v>
      </c>
      <c r="BW38" t="e">
        <f>AND(#REF!,"AAAAAHn57Uo=")</f>
        <v>#REF!</v>
      </c>
      <c r="BX38" t="e">
        <f>AND(#REF!,"AAAAAHn57Us=")</f>
        <v>#REF!</v>
      </c>
      <c r="BY38" t="e">
        <f>AND(#REF!,"AAAAAHn57Uw=")</f>
        <v>#REF!</v>
      </c>
      <c r="BZ38" t="e">
        <f>AND(#REF!,"AAAAAHn57U0=")</f>
        <v>#REF!</v>
      </c>
      <c r="CA38" t="e">
        <f>AND(#REF!,"AAAAAHn57U4=")</f>
        <v>#REF!</v>
      </c>
      <c r="CB38" t="e">
        <f>AND(#REF!,"AAAAAHn57U8=")</f>
        <v>#REF!</v>
      </c>
      <c r="CC38" t="e">
        <f>AND(#REF!,"AAAAAHn57VA=")</f>
        <v>#REF!</v>
      </c>
      <c r="CD38" t="e">
        <f>AND(#REF!,"AAAAAHn57VE=")</f>
        <v>#REF!</v>
      </c>
      <c r="CE38" t="e">
        <f>AND(#REF!,"AAAAAHn57VI=")</f>
        <v>#REF!</v>
      </c>
      <c r="CF38" t="e">
        <f>AND(#REF!,"AAAAAHn57VM=")</f>
        <v>#REF!</v>
      </c>
      <c r="CG38" t="e">
        <f>AND(#REF!,"AAAAAHn57VQ=")</f>
        <v>#REF!</v>
      </c>
      <c r="CH38" t="e">
        <f>AND(#REF!,"AAAAAHn57VU=")</f>
        <v>#REF!</v>
      </c>
      <c r="CI38" t="e">
        <f>AND(#REF!,"AAAAAHn57VY=")</f>
        <v>#REF!</v>
      </c>
      <c r="CJ38" t="e">
        <f>AND(#REF!,"AAAAAHn57Vc=")</f>
        <v>#REF!</v>
      </c>
      <c r="CK38" t="e">
        <f>AND(#REF!,"AAAAAHn57Vg=")</f>
        <v>#REF!</v>
      </c>
      <c r="CL38" t="e">
        <f>AND(#REF!,"AAAAAHn57Vk=")</f>
        <v>#REF!</v>
      </c>
      <c r="CM38" t="e">
        <f>AND(#REF!,"AAAAAHn57Vo=")</f>
        <v>#REF!</v>
      </c>
      <c r="CN38" t="e">
        <f>AND(#REF!,"AAAAAHn57Vs=")</f>
        <v>#REF!</v>
      </c>
      <c r="CO38" t="e">
        <f>AND(#REF!,"AAAAAHn57Vw=")</f>
        <v>#REF!</v>
      </c>
      <c r="CP38" t="e">
        <f>AND(#REF!,"AAAAAHn57V0=")</f>
        <v>#REF!</v>
      </c>
      <c r="CQ38" t="e">
        <f>AND(#REF!,"AAAAAHn57V4=")</f>
        <v>#REF!</v>
      </c>
      <c r="CR38" t="e">
        <f>AND(#REF!,"AAAAAHn57V8=")</f>
        <v>#REF!</v>
      </c>
      <c r="CS38" t="e">
        <f>AND(#REF!,"AAAAAHn57WA=")</f>
        <v>#REF!</v>
      </c>
      <c r="CT38" t="e">
        <f>AND(#REF!,"AAAAAHn57WE=")</f>
        <v>#REF!</v>
      </c>
      <c r="CU38" t="e">
        <f>AND(#REF!,"AAAAAHn57WI=")</f>
        <v>#REF!</v>
      </c>
      <c r="CV38" t="e">
        <f>AND(#REF!,"AAAAAHn57WM=")</f>
        <v>#REF!</v>
      </c>
      <c r="CW38" t="e">
        <f>AND(#REF!,"AAAAAHn57WQ=")</f>
        <v>#REF!</v>
      </c>
      <c r="CX38" t="e">
        <f>AND(#REF!,"AAAAAHn57WU=")</f>
        <v>#REF!</v>
      </c>
      <c r="CY38" t="e">
        <f>AND(#REF!,"AAAAAHn57WY=")</f>
        <v>#REF!</v>
      </c>
      <c r="CZ38" t="e">
        <f>AND(#REF!,"AAAAAHn57Wc=")</f>
        <v>#REF!</v>
      </c>
      <c r="DA38" t="e">
        <f>AND(#REF!,"AAAAAHn57Wg=")</f>
        <v>#REF!</v>
      </c>
      <c r="DB38" t="e">
        <f>AND(#REF!,"AAAAAHn57Wk=")</f>
        <v>#REF!</v>
      </c>
      <c r="DC38" t="e">
        <f>AND(#REF!,"AAAAAHn57Wo=")</f>
        <v>#REF!</v>
      </c>
      <c r="DD38" t="e">
        <f>AND(#REF!,"AAAAAHn57Ws=")</f>
        <v>#REF!</v>
      </c>
      <c r="DE38" t="e">
        <f>AND(#REF!,"AAAAAHn57Ww=")</f>
        <v>#REF!</v>
      </c>
      <c r="DF38" t="e">
        <f>AND(#REF!,"AAAAAHn57W0=")</f>
        <v>#REF!</v>
      </c>
      <c r="DG38" t="e">
        <f>AND(#REF!,"AAAAAHn57W4=")</f>
        <v>#REF!</v>
      </c>
      <c r="DH38" t="e">
        <f>AND(#REF!,"AAAAAHn57W8=")</f>
        <v>#REF!</v>
      </c>
      <c r="DI38" t="e">
        <f>AND(#REF!,"AAAAAHn57XA=")</f>
        <v>#REF!</v>
      </c>
      <c r="DJ38" t="e">
        <f>AND(#REF!,"AAAAAHn57XE=")</f>
        <v>#REF!</v>
      </c>
      <c r="DK38" t="e">
        <f>AND(#REF!,"AAAAAHn57XI=")</f>
        <v>#REF!</v>
      </c>
      <c r="DL38" t="e">
        <f>AND(#REF!,"AAAAAHn57XM=")</f>
        <v>#REF!</v>
      </c>
      <c r="DM38" t="e">
        <f>AND(#REF!,"AAAAAHn57XQ=")</f>
        <v>#REF!</v>
      </c>
      <c r="DN38" t="e">
        <f>AND(#REF!,"AAAAAHn57XU=")</f>
        <v>#REF!</v>
      </c>
      <c r="DO38" t="e">
        <f>AND(#REF!,"AAAAAHn57XY=")</f>
        <v>#REF!</v>
      </c>
      <c r="DP38" t="e">
        <f>AND(#REF!,"AAAAAHn57Xc=")</f>
        <v>#REF!</v>
      </c>
      <c r="DQ38" t="e">
        <f>AND(#REF!,"AAAAAHn57Xg=")</f>
        <v>#REF!</v>
      </c>
      <c r="DR38" t="e">
        <f>AND(#REF!,"AAAAAHn57Xk=")</f>
        <v>#REF!</v>
      </c>
      <c r="DS38" t="e">
        <f>AND(#REF!,"AAAAAHn57Xo=")</f>
        <v>#REF!</v>
      </c>
      <c r="DT38" t="e">
        <f>AND(#REF!,"AAAAAHn57Xs=")</f>
        <v>#REF!</v>
      </c>
      <c r="DU38" t="e">
        <f>AND(#REF!,"AAAAAHn57Xw=")</f>
        <v>#REF!</v>
      </c>
      <c r="DV38" t="e">
        <f>AND(#REF!,"AAAAAHn57X0=")</f>
        <v>#REF!</v>
      </c>
      <c r="DW38" t="e">
        <f>AND(#REF!,"AAAAAHn57X4=")</f>
        <v>#REF!</v>
      </c>
      <c r="DX38" t="e">
        <f>AND(#REF!,"AAAAAHn57X8=")</f>
        <v>#REF!</v>
      </c>
      <c r="DY38" t="e">
        <f>AND(#REF!,"AAAAAHn57YA=")</f>
        <v>#REF!</v>
      </c>
      <c r="DZ38" t="e">
        <f>AND(#REF!,"AAAAAHn57YE=")</f>
        <v>#REF!</v>
      </c>
      <c r="EA38" t="e">
        <f>AND(#REF!,"AAAAAHn57YI=")</f>
        <v>#REF!</v>
      </c>
      <c r="EB38" t="e">
        <f>AND(#REF!,"AAAAAHn57YM=")</f>
        <v>#REF!</v>
      </c>
      <c r="EC38" t="e">
        <f>AND(#REF!,"AAAAAHn57YQ=")</f>
        <v>#REF!</v>
      </c>
      <c r="ED38" t="e">
        <f>AND(#REF!,"AAAAAHn57YU=")</f>
        <v>#REF!</v>
      </c>
      <c r="EE38" t="e">
        <f>AND(#REF!,"AAAAAHn57YY=")</f>
        <v>#REF!</v>
      </c>
      <c r="EF38" t="e">
        <f>AND(#REF!,"AAAAAHn57Yc=")</f>
        <v>#REF!</v>
      </c>
      <c r="EG38" t="e">
        <f>AND(#REF!,"AAAAAHn57Yg=")</f>
        <v>#REF!</v>
      </c>
      <c r="EH38" t="e">
        <f>AND(#REF!,"AAAAAHn57Yk=")</f>
        <v>#REF!</v>
      </c>
      <c r="EI38" t="e">
        <f>AND(#REF!,"AAAAAHn57Yo=")</f>
        <v>#REF!</v>
      </c>
      <c r="EJ38" t="e">
        <f>AND(#REF!,"AAAAAHn57Ys=")</f>
        <v>#REF!</v>
      </c>
      <c r="EK38" t="e">
        <f>AND(#REF!,"AAAAAHn57Yw=")</f>
        <v>#REF!</v>
      </c>
      <c r="EL38" t="e">
        <f>AND(#REF!,"AAAAAHn57Y0=")</f>
        <v>#REF!</v>
      </c>
      <c r="EM38" t="e">
        <f>AND(#REF!,"AAAAAHn57Y4=")</f>
        <v>#REF!</v>
      </c>
      <c r="EN38" t="e">
        <f>AND(#REF!,"AAAAAHn57Y8=")</f>
        <v>#REF!</v>
      </c>
      <c r="EO38" t="e">
        <f>AND(#REF!,"AAAAAHn57ZA=")</f>
        <v>#REF!</v>
      </c>
      <c r="EP38" t="e">
        <f>AND(#REF!,"AAAAAHn57ZE=")</f>
        <v>#REF!</v>
      </c>
      <c r="EQ38" t="e">
        <f>AND(#REF!,"AAAAAHn57ZI=")</f>
        <v>#REF!</v>
      </c>
      <c r="ER38" t="e">
        <f>AND(#REF!,"AAAAAHn57ZM=")</f>
        <v>#REF!</v>
      </c>
      <c r="ES38" t="e">
        <f>AND(#REF!,"AAAAAHn57ZQ=")</f>
        <v>#REF!</v>
      </c>
      <c r="ET38" t="e">
        <f>AND(#REF!,"AAAAAHn57ZU=")</f>
        <v>#REF!</v>
      </c>
      <c r="EU38" t="e">
        <f>AND(#REF!,"AAAAAHn57ZY=")</f>
        <v>#REF!</v>
      </c>
      <c r="EV38" t="e">
        <f>AND(#REF!,"AAAAAHn57Zc=")</f>
        <v>#REF!</v>
      </c>
      <c r="EW38" t="e">
        <f>AND(#REF!,"AAAAAHn57Zg=")</f>
        <v>#REF!</v>
      </c>
      <c r="EX38" t="e">
        <f>AND(#REF!,"AAAAAHn57Zk=")</f>
        <v>#REF!</v>
      </c>
      <c r="EY38" t="e">
        <f>AND(#REF!,"AAAAAHn57Zo=")</f>
        <v>#REF!</v>
      </c>
      <c r="EZ38" t="e">
        <f>AND(#REF!,"AAAAAHn57Zs=")</f>
        <v>#REF!</v>
      </c>
      <c r="FA38" t="e">
        <f>AND(#REF!,"AAAAAHn57Zw=")</f>
        <v>#REF!</v>
      </c>
      <c r="FB38" t="e">
        <f>AND(#REF!,"AAAAAHn57Z0=")</f>
        <v>#REF!</v>
      </c>
      <c r="FC38" t="e">
        <f>AND(#REF!,"AAAAAHn57Z4=")</f>
        <v>#REF!</v>
      </c>
      <c r="FD38" t="e">
        <f>AND(#REF!,"AAAAAHn57Z8=")</f>
        <v>#REF!</v>
      </c>
      <c r="FE38" t="e">
        <f>AND(#REF!,"AAAAAHn57aA=")</f>
        <v>#REF!</v>
      </c>
      <c r="FF38" t="e">
        <f>AND(#REF!,"AAAAAHn57aE=")</f>
        <v>#REF!</v>
      </c>
      <c r="FG38" t="e">
        <f>AND(#REF!,"AAAAAHn57aI=")</f>
        <v>#REF!</v>
      </c>
      <c r="FH38" t="e">
        <f>AND(#REF!,"AAAAAHn57aM=")</f>
        <v>#REF!</v>
      </c>
      <c r="FI38" t="e">
        <f>AND(#REF!,"AAAAAHn57aQ=")</f>
        <v>#REF!</v>
      </c>
      <c r="FJ38" t="e">
        <f>AND(#REF!,"AAAAAHn57aU=")</f>
        <v>#REF!</v>
      </c>
      <c r="FK38" t="e">
        <f>AND(#REF!,"AAAAAHn57aY=")</f>
        <v>#REF!</v>
      </c>
      <c r="FL38" t="e">
        <f>AND(#REF!,"AAAAAHn57ac=")</f>
        <v>#REF!</v>
      </c>
      <c r="FM38" t="e">
        <f>AND(#REF!,"AAAAAHn57ag=")</f>
        <v>#REF!</v>
      </c>
      <c r="FN38" t="e">
        <f>AND(#REF!,"AAAAAHn57ak=")</f>
        <v>#REF!</v>
      </c>
      <c r="FO38" t="e">
        <f>AND(#REF!,"AAAAAHn57ao=")</f>
        <v>#REF!</v>
      </c>
      <c r="FP38" t="e">
        <f>AND(#REF!,"AAAAAHn57as=")</f>
        <v>#REF!</v>
      </c>
      <c r="FQ38" t="e">
        <f>AND(#REF!,"AAAAAHn57aw=")</f>
        <v>#REF!</v>
      </c>
      <c r="FR38" t="e">
        <f>AND(#REF!,"AAAAAHn57a0=")</f>
        <v>#REF!</v>
      </c>
      <c r="FS38" t="e">
        <f>AND(#REF!,"AAAAAHn57a4=")</f>
        <v>#REF!</v>
      </c>
      <c r="FT38" t="e">
        <f>AND(#REF!,"AAAAAHn57a8=")</f>
        <v>#REF!</v>
      </c>
      <c r="FU38" t="e">
        <f>AND(#REF!,"AAAAAHn57bA=")</f>
        <v>#REF!</v>
      </c>
      <c r="FV38" t="e">
        <f>AND(#REF!,"AAAAAHn57bE=")</f>
        <v>#REF!</v>
      </c>
      <c r="FW38" t="e">
        <f>AND(#REF!,"AAAAAHn57bI=")</f>
        <v>#REF!</v>
      </c>
      <c r="FX38" t="e">
        <f>AND(#REF!,"AAAAAHn57bM=")</f>
        <v>#REF!</v>
      </c>
      <c r="FY38" t="e">
        <f>AND(#REF!,"AAAAAHn57bQ=")</f>
        <v>#REF!</v>
      </c>
      <c r="FZ38" t="e">
        <f>AND(#REF!,"AAAAAHn57bU=")</f>
        <v>#REF!</v>
      </c>
      <c r="GA38" t="e">
        <f>AND(#REF!,"AAAAAHn57bY=")</f>
        <v>#REF!</v>
      </c>
      <c r="GB38" t="e">
        <f>IF(#REF!,"AAAAAHn57bc=",0)</f>
        <v>#REF!</v>
      </c>
      <c r="GC38" t="e">
        <f>AND(#REF!,"AAAAAHn57bg=")</f>
        <v>#REF!</v>
      </c>
      <c r="GD38" t="e">
        <f>AND(#REF!,"AAAAAHn57bk=")</f>
        <v>#REF!</v>
      </c>
      <c r="GE38" t="e">
        <f>AND(#REF!,"AAAAAHn57bo=")</f>
        <v>#REF!</v>
      </c>
      <c r="GF38" t="e">
        <f>AND(#REF!,"AAAAAHn57bs=")</f>
        <v>#REF!</v>
      </c>
      <c r="GG38" t="e">
        <f>AND(#REF!,"AAAAAHn57bw=")</f>
        <v>#REF!</v>
      </c>
      <c r="GH38" t="e">
        <f>AND(#REF!,"AAAAAHn57b0=")</f>
        <v>#REF!</v>
      </c>
      <c r="GI38" t="e">
        <f>AND(#REF!,"AAAAAHn57b4=")</f>
        <v>#REF!</v>
      </c>
      <c r="GJ38" t="e">
        <f>AND(#REF!,"AAAAAHn57b8=")</f>
        <v>#REF!</v>
      </c>
      <c r="GK38" t="e">
        <f>AND(#REF!,"AAAAAHn57cA=")</f>
        <v>#REF!</v>
      </c>
      <c r="GL38" t="e">
        <f>AND(#REF!,"AAAAAHn57cE=")</f>
        <v>#REF!</v>
      </c>
      <c r="GM38" t="e">
        <f>AND(#REF!,"AAAAAHn57cI=")</f>
        <v>#REF!</v>
      </c>
      <c r="GN38" t="e">
        <f>AND(#REF!,"AAAAAHn57cM=")</f>
        <v>#REF!</v>
      </c>
      <c r="GO38" t="e">
        <f>AND(#REF!,"AAAAAHn57cQ=")</f>
        <v>#REF!</v>
      </c>
      <c r="GP38" t="e">
        <f>AND(#REF!,"AAAAAHn57cU=")</f>
        <v>#REF!</v>
      </c>
      <c r="GQ38" t="e">
        <f>AND(#REF!,"AAAAAHn57cY=")</f>
        <v>#REF!</v>
      </c>
      <c r="GR38" t="e">
        <f>AND(#REF!,"AAAAAHn57cc=")</f>
        <v>#REF!</v>
      </c>
      <c r="GS38" t="e">
        <f>AND(#REF!,"AAAAAHn57cg=")</f>
        <v>#REF!</v>
      </c>
      <c r="GT38" t="e">
        <f>AND(#REF!,"AAAAAHn57ck=")</f>
        <v>#REF!</v>
      </c>
      <c r="GU38" t="e">
        <f>AND(#REF!,"AAAAAHn57co=")</f>
        <v>#REF!</v>
      </c>
      <c r="GV38" t="e">
        <f>AND(#REF!,"AAAAAHn57cs=")</f>
        <v>#REF!</v>
      </c>
      <c r="GW38" t="e">
        <f>AND(#REF!,"AAAAAHn57cw=")</f>
        <v>#REF!</v>
      </c>
      <c r="GX38" t="e">
        <f>AND(#REF!,"AAAAAHn57c0=")</f>
        <v>#REF!</v>
      </c>
      <c r="GY38" t="e">
        <f>AND(#REF!,"AAAAAHn57c4=")</f>
        <v>#REF!</v>
      </c>
      <c r="GZ38" t="e">
        <f>AND(#REF!,"AAAAAHn57c8=")</f>
        <v>#REF!</v>
      </c>
      <c r="HA38" t="e">
        <f>AND(#REF!,"AAAAAHn57dA=")</f>
        <v>#REF!</v>
      </c>
      <c r="HB38" t="e">
        <f>AND(#REF!,"AAAAAHn57dE=")</f>
        <v>#REF!</v>
      </c>
      <c r="HC38" t="e">
        <f>AND(#REF!,"AAAAAHn57dI=")</f>
        <v>#REF!</v>
      </c>
      <c r="HD38" t="e">
        <f>AND(#REF!,"AAAAAHn57dM=")</f>
        <v>#REF!</v>
      </c>
      <c r="HE38" t="e">
        <f>AND(#REF!,"AAAAAHn57dQ=")</f>
        <v>#REF!</v>
      </c>
      <c r="HF38" t="e">
        <f>AND(#REF!,"AAAAAHn57dU=")</f>
        <v>#REF!</v>
      </c>
      <c r="HG38" t="e">
        <f>AND(#REF!,"AAAAAHn57dY=")</f>
        <v>#REF!</v>
      </c>
      <c r="HH38" t="e">
        <f>AND(#REF!,"AAAAAHn57dc=")</f>
        <v>#REF!</v>
      </c>
      <c r="HI38" t="e">
        <f>AND(#REF!,"AAAAAHn57dg=")</f>
        <v>#REF!</v>
      </c>
      <c r="HJ38" t="e">
        <f>AND(#REF!,"AAAAAHn57dk=")</f>
        <v>#REF!</v>
      </c>
      <c r="HK38" t="e">
        <f>AND(#REF!,"AAAAAHn57do=")</f>
        <v>#REF!</v>
      </c>
      <c r="HL38" t="e">
        <f>AND(#REF!,"AAAAAHn57ds=")</f>
        <v>#REF!</v>
      </c>
      <c r="HM38" t="e">
        <f>AND(#REF!,"AAAAAHn57dw=")</f>
        <v>#REF!</v>
      </c>
      <c r="HN38" t="e">
        <f>AND(#REF!,"AAAAAHn57d0=")</f>
        <v>#REF!</v>
      </c>
      <c r="HO38" t="e">
        <f>AND(#REF!,"AAAAAHn57d4=")</f>
        <v>#REF!</v>
      </c>
      <c r="HP38" t="e">
        <f>AND(#REF!,"AAAAAHn57d8=")</f>
        <v>#REF!</v>
      </c>
      <c r="HQ38" t="e">
        <f>AND(#REF!,"AAAAAHn57eA=")</f>
        <v>#REF!</v>
      </c>
      <c r="HR38" t="e">
        <f>AND(#REF!,"AAAAAHn57eE=")</f>
        <v>#REF!</v>
      </c>
      <c r="HS38" t="e">
        <f>AND(#REF!,"AAAAAHn57eI=")</f>
        <v>#REF!</v>
      </c>
      <c r="HT38" t="e">
        <f>AND(#REF!,"AAAAAHn57eM=")</f>
        <v>#REF!</v>
      </c>
      <c r="HU38" t="e">
        <f>AND(#REF!,"AAAAAHn57eQ=")</f>
        <v>#REF!</v>
      </c>
      <c r="HV38" t="e">
        <f>AND(#REF!,"AAAAAHn57eU=")</f>
        <v>#REF!</v>
      </c>
      <c r="HW38" t="e">
        <f>AND(#REF!,"AAAAAHn57eY=")</f>
        <v>#REF!</v>
      </c>
      <c r="HX38" t="e">
        <f>AND(#REF!,"AAAAAHn57ec=")</f>
        <v>#REF!</v>
      </c>
      <c r="HY38" t="e">
        <f>AND(#REF!,"AAAAAHn57eg=")</f>
        <v>#REF!</v>
      </c>
      <c r="HZ38" t="e">
        <f>AND(#REF!,"AAAAAHn57ek=")</f>
        <v>#REF!</v>
      </c>
      <c r="IA38" t="e">
        <f>AND(#REF!,"AAAAAHn57eo=")</f>
        <v>#REF!</v>
      </c>
      <c r="IB38" t="e">
        <f>AND(#REF!,"AAAAAHn57es=")</f>
        <v>#REF!</v>
      </c>
      <c r="IC38" t="e">
        <f>AND(#REF!,"AAAAAHn57ew=")</f>
        <v>#REF!</v>
      </c>
      <c r="ID38" t="e">
        <f>AND(#REF!,"AAAAAHn57e0=")</f>
        <v>#REF!</v>
      </c>
      <c r="IE38" t="e">
        <f>AND(#REF!,"AAAAAHn57e4=")</f>
        <v>#REF!</v>
      </c>
      <c r="IF38" t="e">
        <f>AND(#REF!,"AAAAAHn57e8=")</f>
        <v>#REF!</v>
      </c>
      <c r="IG38" t="e">
        <f>AND(#REF!,"AAAAAHn57fA=")</f>
        <v>#REF!</v>
      </c>
      <c r="IH38" t="e">
        <f>AND(#REF!,"AAAAAHn57fE=")</f>
        <v>#REF!</v>
      </c>
      <c r="II38" t="e">
        <f>AND(#REF!,"AAAAAHn57fI=")</f>
        <v>#REF!</v>
      </c>
      <c r="IJ38" t="e">
        <f>AND(#REF!,"AAAAAHn57fM=")</f>
        <v>#REF!</v>
      </c>
      <c r="IK38" t="e">
        <f>AND(#REF!,"AAAAAHn57fQ=")</f>
        <v>#REF!</v>
      </c>
      <c r="IL38" t="e">
        <f>AND(#REF!,"AAAAAHn57fU=")</f>
        <v>#REF!</v>
      </c>
      <c r="IM38" t="e">
        <f>AND(#REF!,"AAAAAHn57fY=")</f>
        <v>#REF!</v>
      </c>
      <c r="IN38" t="e">
        <f>AND(#REF!,"AAAAAHn57fc=")</f>
        <v>#REF!</v>
      </c>
      <c r="IO38" t="e">
        <f>AND(#REF!,"AAAAAHn57fg=")</f>
        <v>#REF!</v>
      </c>
      <c r="IP38" t="e">
        <f>AND(#REF!,"AAAAAHn57fk=")</f>
        <v>#REF!</v>
      </c>
      <c r="IQ38" t="e">
        <f>AND(#REF!,"AAAAAHn57fo=")</f>
        <v>#REF!</v>
      </c>
      <c r="IR38" t="e">
        <f>AND(#REF!,"AAAAAHn57fs=")</f>
        <v>#REF!</v>
      </c>
      <c r="IS38" t="e">
        <f>AND(#REF!,"AAAAAHn57fw=")</f>
        <v>#REF!</v>
      </c>
      <c r="IT38" t="e">
        <f>AND(#REF!,"AAAAAHn57f0=")</f>
        <v>#REF!</v>
      </c>
      <c r="IU38" t="e">
        <f>AND(#REF!,"AAAAAHn57f4=")</f>
        <v>#REF!</v>
      </c>
      <c r="IV38" t="e">
        <f>AND(#REF!,"AAAAAHn57f8=")</f>
        <v>#REF!</v>
      </c>
    </row>
    <row r="39" spans="1:256" ht="15">
      <c r="A39" t="e">
        <f>AND(#REF!,"AAAAADFnfwA=")</f>
        <v>#REF!</v>
      </c>
      <c r="B39" t="e">
        <f>AND(#REF!,"AAAAADFnfwE=")</f>
        <v>#REF!</v>
      </c>
      <c r="C39" t="e">
        <f>AND(#REF!,"AAAAADFnfwI=")</f>
        <v>#REF!</v>
      </c>
      <c r="D39" t="e">
        <f>AND(#REF!,"AAAAADFnfwM=")</f>
        <v>#REF!</v>
      </c>
      <c r="E39" t="e">
        <f>AND(#REF!,"AAAAADFnfwQ=")</f>
        <v>#REF!</v>
      </c>
      <c r="F39" t="e">
        <f>AND(#REF!,"AAAAADFnfwU=")</f>
        <v>#REF!</v>
      </c>
      <c r="G39" t="e">
        <f>AND(#REF!,"AAAAADFnfwY=")</f>
        <v>#REF!</v>
      </c>
      <c r="H39" t="e">
        <f>AND(#REF!,"AAAAADFnfwc=")</f>
        <v>#REF!</v>
      </c>
      <c r="I39" t="e">
        <f>AND(#REF!,"AAAAADFnfwg=")</f>
        <v>#REF!</v>
      </c>
      <c r="J39" t="e">
        <f>AND(#REF!,"AAAAADFnfwk=")</f>
        <v>#REF!</v>
      </c>
      <c r="K39" t="e">
        <f>AND(#REF!,"AAAAADFnfwo=")</f>
        <v>#REF!</v>
      </c>
      <c r="L39" t="e">
        <f>AND(#REF!,"AAAAADFnfws=")</f>
        <v>#REF!</v>
      </c>
      <c r="M39" t="e">
        <f>AND(#REF!,"AAAAADFnfww=")</f>
        <v>#REF!</v>
      </c>
      <c r="N39" t="e">
        <f>AND(#REF!,"AAAAADFnfw0=")</f>
        <v>#REF!</v>
      </c>
      <c r="O39" t="e">
        <f>AND(#REF!,"AAAAADFnfw4=")</f>
        <v>#REF!</v>
      </c>
      <c r="P39" t="e">
        <f>AND(#REF!,"AAAAADFnfw8=")</f>
        <v>#REF!</v>
      </c>
      <c r="Q39" t="e">
        <f>AND(#REF!,"AAAAADFnfxA=")</f>
        <v>#REF!</v>
      </c>
      <c r="R39" t="e">
        <f>AND(#REF!,"AAAAADFnfxE=")</f>
        <v>#REF!</v>
      </c>
      <c r="S39" t="e">
        <f>AND(#REF!,"AAAAADFnfxI=")</f>
        <v>#REF!</v>
      </c>
      <c r="T39" t="e">
        <f>AND(#REF!,"AAAAADFnfxM=")</f>
        <v>#REF!</v>
      </c>
      <c r="U39" t="e">
        <f>AND(#REF!,"AAAAADFnfxQ=")</f>
        <v>#REF!</v>
      </c>
      <c r="V39" t="e">
        <f>AND(#REF!,"AAAAADFnfxU=")</f>
        <v>#REF!</v>
      </c>
      <c r="W39" t="e">
        <f>AND(#REF!,"AAAAADFnfxY=")</f>
        <v>#REF!</v>
      </c>
      <c r="X39" t="e">
        <f>AND(#REF!,"AAAAADFnfxc=")</f>
        <v>#REF!</v>
      </c>
      <c r="Y39" t="e">
        <f>AND(#REF!,"AAAAADFnfxg=")</f>
        <v>#REF!</v>
      </c>
      <c r="Z39" t="e">
        <f>AND(#REF!,"AAAAADFnfxk=")</f>
        <v>#REF!</v>
      </c>
      <c r="AA39" t="e">
        <f>AND(#REF!,"AAAAADFnfxo=")</f>
        <v>#REF!</v>
      </c>
      <c r="AB39" t="e">
        <f>AND(#REF!,"AAAAADFnfxs=")</f>
        <v>#REF!</v>
      </c>
      <c r="AC39" t="e">
        <f>AND(#REF!,"AAAAADFnfxw=")</f>
        <v>#REF!</v>
      </c>
      <c r="AD39" t="e">
        <f>AND(#REF!,"AAAAADFnfx0=")</f>
        <v>#REF!</v>
      </c>
      <c r="AE39" t="e">
        <f>AND(#REF!,"AAAAADFnfx4=")</f>
        <v>#REF!</v>
      </c>
      <c r="AF39" t="e">
        <f>AND(#REF!,"AAAAADFnfx8=")</f>
        <v>#REF!</v>
      </c>
      <c r="AG39" t="e">
        <f>AND(#REF!,"AAAAADFnfyA=")</f>
        <v>#REF!</v>
      </c>
      <c r="AH39" t="e">
        <f>AND(#REF!,"AAAAADFnfyE=")</f>
        <v>#REF!</v>
      </c>
      <c r="AI39" t="e">
        <f>AND(#REF!,"AAAAADFnfyI=")</f>
        <v>#REF!</v>
      </c>
      <c r="AJ39" t="e">
        <f>AND(#REF!,"AAAAADFnfyM=")</f>
        <v>#REF!</v>
      </c>
      <c r="AK39" t="e">
        <f>AND(#REF!,"AAAAADFnfyQ=")</f>
        <v>#REF!</v>
      </c>
      <c r="AL39" t="e">
        <f>AND(#REF!,"AAAAADFnfyU=")</f>
        <v>#REF!</v>
      </c>
      <c r="AM39" t="e">
        <f>AND(#REF!,"AAAAADFnfyY=")</f>
        <v>#REF!</v>
      </c>
      <c r="AN39" t="e">
        <f>AND(#REF!,"AAAAADFnfyc=")</f>
        <v>#REF!</v>
      </c>
      <c r="AO39" t="e">
        <f>AND(#REF!,"AAAAADFnfyg=")</f>
        <v>#REF!</v>
      </c>
      <c r="AP39" t="e">
        <f>AND(#REF!,"AAAAADFnfyk=")</f>
        <v>#REF!</v>
      </c>
      <c r="AQ39" t="e">
        <f>AND(#REF!,"AAAAADFnfyo=")</f>
        <v>#REF!</v>
      </c>
      <c r="AR39" t="e">
        <f>AND(#REF!,"AAAAADFnfys=")</f>
        <v>#REF!</v>
      </c>
      <c r="AS39" t="e">
        <f>AND(#REF!,"AAAAADFnfyw=")</f>
        <v>#REF!</v>
      </c>
      <c r="AT39" t="e">
        <f>AND(#REF!,"AAAAADFnfy0=")</f>
        <v>#REF!</v>
      </c>
      <c r="AU39" t="e">
        <f>AND(#REF!,"AAAAADFnfy4=")</f>
        <v>#REF!</v>
      </c>
      <c r="AV39" t="e">
        <f>AND(#REF!,"AAAAADFnfy8=")</f>
        <v>#REF!</v>
      </c>
      <c r="AW39" t="e">
        <f>AND(#REF!,"AAAAADFnfzA=")</f>
        <v>#REF!</v>
      </c>
      <c r="AX39" t="e">
        <f>AND(#REF!,"AAAAADFnfzE=")</f>
        <v>#REF!</v>
      </c>
      <c r="AY39" t="e">
        <f>AND(#REF!,"AAAAADFnfzI=")</f>
        <v>#REF!</v>
      </c>
      <c r="AZ39" t="e">
        <f>AND(#REF!,"AAAAADFnfzM=")</f>
        <v>#REF!</v>
      </c>
      <c r="BA39" t="e">
        <f>AND(#REF!,"AAAAADFnfzQ=")</f>
        <v>#REF!</v>
      </c>
      <c r="BB39" t="e">
        <f>AND(#REF!,"AAAAADFnfzU=")</f>
        <v>#REF!</v>
      </c>
      <c r="BC39" t="e">
        <f>AND(#REF!,"AAAAADFnfzY=")</f>
        <v>#REF!</v>
      </c>
      <c r="BD39" t="e">
        <f>AND(#REF!,"AAAAADFnfzc=")</f>
        <v>#REF!</v>
      </c>
      <c r="BE39" t="e">
        <f>AND(#REF!,"AAAAADFnfzg=")</f>
        <v>#REF!</v>
      </c>
      <c r="BF39" t="e">
        <f>AND(#REF!,"AAAAADFnfzk=")</f>
        <v>#REF!</v>
      </c>
      <c r="BG39" t="e">
        <f>AND(#REF!,"AAAAADFnfzo=")</f>
        <v>#REF!</v>
      </c>
      <c r="BH39" t="e">
        <f>AND(#REF!,"AAAAADFnfzs=")</f>
        <v>#REF!</v>
      </c>
      <c r="BI39" t="e">
        <f>AND(#REF!,"AAAAADFnfzw=")</f>
        <v>#REF!</v>
      </c>
      <c r="BJ39" t="e">
        <f>AND(#REF!,"AAAAADFnfz0=")</f>
        <v>#REF!</v>
      </c>
      <c r="BK39" t="e">
        <f>AND(#REF!,"AAAAADFnfz4=")</f>
        <v>#REF!</v>
      </c>
      <c r="BL39" t="e">
        <f>IF(#REF!,"AAAAADFnfz8=",0)</f>
        <v>#REF!</v>
      </c>
      <c r="BM39" t="e">
        <f>AND(#REF!,"AAAAADFnf0A=")</f>
        <v>#REF!</v>
      </c>
      <c r="BN39" t="e">
        <f>AND(#REF!,"AAAAADFnf0E=")</f>
        <v>#REF!</v>
      </c>
      <c r="BO39" t="e">
        <f>AND(#REF!,"AAAAADFnf0I=")</f>
        <v>#REF!</v>
      </c>
      <c r="BP39" t="e">
        <f>AND(#REF!,"AAAAADFnf0M=")</f>
        <v>#REF!</v>
      </c>
      <c r="BQ39" t="e">
        <f>AND(#REF!,"AAAAADFnf0Q=")</f>
        <v>#REF!</v>
      </c>
      <c r="BR39" t="e">
        <f>AND(#REF!,"AAAAADFnf0U=")</f>
        <v>#REF!</v>
      </c>
      <c r="BS39" t="e">
        <f>AND(#REF!,"AAAAADFnf0Y=")</f>
        <v>#REF!</v>
      </c>
      <c r="BT39" t="e">
        <f>AND(#REF!,"AAAAADFnf0c=")</f>
        <v>#REF!</v>
      </c>
      <c r="BU39" t="e">
        <f>AND(#REF!,"AAAAADFnf0g=")</f>
        <v>#REF!</v>
      </c>
      <c r="BV39" t="e">
        <f>AND(#REF!,"AAAAADFnf0k=")</f>
        <v>#REF!</v>
      </c>
      <c r="BW39" t="e">
        <f>AND(#REF!,"AAAAADFnf0o=")</f>
        <v>#REF!</v>
      </c>
      <c r="BX39" t="e">
        <f>AND(#REF!,"AAAAADFnf0s=")</f>
        <v>#REF!</v>
      </c>
      <c r="BY39" t="e">
        <f>AND(#REF!,"AAAAADFnf0w=")</f>
        <v>#REF!</v>
      </c>
      <c r="BZ39" t="e">
        <f>AND(#REF!,"AAAAADFnf00=")</f>
        <v>#REF!</v>
      </c>
      <c r="CA39" t="e">
        <f>AND(#REF!,"AAAAADFnf04=")</f>
        <v>#REF!</v>
      </c>
      <c r="CB39" t="e">
        <f>AND(#REF!,"AAAAADFnf08=")</f>
        <v>#REF!</v>
      </c>
      <c r="CC39" t="e">
        <f>AND(#REF!,"AAAAADFnf1A=")</f>
        <v>#REF!</v>
      </c>
      <c r="CD39" t="e">
        <f>AND(#REF!,"AAAAADFnf1E=")</f>
        <v>#REF!</v>
      </c>
      <c r="CE39" t="e">
        <f>AND(#REF!,"AAAAADFnf1I=")</f>
        <v>#REF!</v>
      </c>
      <c r="CF39" t="e">
        <f>AND(#REF!,"AAAAADFnf1M=")</f>
        <v>#REF!</v>
      </c>
      <c r="CG39" t="e">
        <f>AND(#REF!,"AAAAADFnf1Q=")</f>
        <v>#REF!</v>
      </c>
      <c r="CH39" t="e">
        <f>AND(#REF!,"AAAAADFnf1U=")</f>
        <v>#REF!</v>
      </c>
      <c r="CI39" t="e">
        <f>AND(#REF!,"AAAAADFnf1Y=")</f>
        <v>#REF!</v>
      </c>
      <c r="CJ39" t="e">
        <f>AND(#REF!,"AAAAADFnf1c=")</f>
        <v>#REF!</v>
      </c>
      <c r="CK39" t="e">
        <f>AND(#REF!,"AAAAADFnf1g=")</f>
        <v>#REF!</v>
      </c>
      <c r="CL39" t="e">
        <f>AND(#REF!,"AAAAADFnf1k=")</f>
        <v>#REF!</v>
      </c>
      <c r="CM39" t="e">
        <f>AND(#REF!,"AAAAADFnf1o=")</f>
        <v>#REF!</v>
      </c>
      <c r="CN39" t="e">
        <f>AND(#REF!,"AAAAADFnf1s=")</f>
        <v>#REF!</v>
      </c>
      <c r="CO39" t="e">
        <f>AND(#REF!,"AAAAADFnf1w=")</f>
        <v>#REF!</v>
      </c>
      <c r="CP39" t="e">
        <f>AND(#REF!,"AAAAADFnf10=")</f>
        <v>#REF!</v>
      </c>
      <c r="CQ39" t="e">
        <f>AND(#REF!,"AAAAADFnf14=")</f>
        <v>#REF!</v>
      </c>
      <c r="CR39" t="e">
        <f>AND(#REF!,"AAAAADFnf18=")</f>
        <v>#REF!</v>
      </c>
      <c r="CS39" t="e">
        <f>AND(#REF!,"AAAAADFnf2A=")</f>
        <v>#REF!</v>
      </c>
      <c r="CT39" t="e">
        <f>AND(#REF!,"AAAAADFnf2E=")</f>
        <v>#REF!</v>
      </c>
      <c r="CU39" t="e">
        <f>AND(#REF!,"AAAAADFnf2I=")</f>
        <v>#REF!</v>
      </c>
      <c r="CV39" t="e">
        <f>AND(#REF!,"AAAAADFnf2M=")</f>
        <v>#REF!</v>
      </c>
      <c r="CW39" t="e">
        <f>AND(#REF!,"AAAAADFnf2Q=")</f>
        <v>#REF!</v>
      </c>
      <c r="CX39" t="e">
        <f>AND(#REF!,"AAAAADFnf2U=")</f>
        <v>#REF!</v>
      </c>
      <c r="CY39" t="e">
        <f>AND(#REF!,"AAAAADFnf2Y=")</f>
        <v>#REF!</v>
      </c>
      <c r="CZ39" t="e">
        <f>AND(#REF!,"AAAAADFnf2c=")</f>
        <v>#REF!</v>
      </c>
      <c r="DA39" t="e">
        <f>AND(#REF!,"AAAAADFnf2g=")</f>
        <v>#REF!</v>
      </c>
      <c r="DB39" t="e">
        <f>AND(#REF!,"AAAAADFnf2k=")</f>
        <v>#REF!</v>
      </c>
      <c r="DC39" t="e">
        <f>AND(#REF!,"AAAAADFnf2o=")</f>
        <v>#REF!</v>
      </c>
      <c r="DD39" t="e">
        <f>AND(#REF!,"AAAAADFnf2s=")</f>
        <v>#REF!</v>
      </c>
      <c r="DE39" t="e">
        <f>AND(#REF!,"AAAAADFnf2w=")</f>
        <v>#REF!</v>
      </c>
      <c r="DF39" t="e">
        <f>AND(#REF!,"AAAAADFnf20=")</f>
        <v>#REF!</v>
      </c>
      <c r="DG39" t="e">
        <f>AND(#REF!,"AAAAADFnf24=")</f>
        <v>#REF!</v>
      </c>
      <c r="DH39" t="e">
        <f>AND(#REF!,"AAAAADFnf28=")</f>
        <v>#REF!</v>
      </c>
      <c r="DI39" t="e">
        <f>AND(#REF!,"AAAAADFnf3A=")</f>
        <v>#REF!</v>
      </c>
      <c r="DJ39" t="e">
        <f>AND(#REF!,"AAAAADFnf3E=")</f>
        <v>#REF!</v>
      </c>
      <c r="DK39" t="e">
        <f>AND(#REF!,"AAAAADFnf3I=")</f>
        <v>#REF!</v>
      </c>
      <c r="DL39" t="e">
        <f>AND(#REF!,"AAAAADFnf3M=")</f>
        <v>#REF!</v>
      </c>
      <c r="DM39" t="e">
        <f>AND(#REF!,"AAAAADFnf3Q=")</f>
        <v>#REF!</v>
      </c>
      <c r="DN39" t="e">
        <f>AND(#REF!,"AAAAADFnf3U=")</f>
        <v>#REF!</v>
      </c>
      <c r="DO39" t="e">
        <f>AND(#REF!,"AAAAADFnf3Y=")</f>
        <v>#REF!</v>
      </c>
      <c r="DP39" t="e">
        <f>AND(#REF!,"AAAAADFnf3c=")</f>
        <v>#REF!</v>
      </c>
      <c r="DQ39" t="e">
        <f>AND(#REF!,"AAAAADFnf3g=")</f>
        <v>#REF!</v>
      </c>
      <c r="DR39" t="e">
        <f>AND(#REF!,"AAAAADFnf3k=")</f>
        <v>#REF!</v>
      </c>
      <c r="DS39" t="e">
        <f>AND(#REF!,"AAAAADFnf3o=")</f>
        <v>#REF!</v>
      </c>
      <c r="DT39" t="e">
        <f>AND(#REF!,"AAAAADFnf3s=")</f>
        <v>#REF!</v>
      </c>
      <c r="DU39" t="e">
        <f>AND(#REF!,"AAAAADFnf3w=")</f>
        <v>#REF!</v>
      </c>
      <c r="DV39" t="e">
        <f>AND(#REF!,"AAAAADFnf30=")</f>
        <v>#REF!</v>
      </c>
      <c r="DW39" t="e">
        <f>AND(#REF!,"AAAAADFnf34=")</f>
        <v>#REF!</v>
      </c>
      <c r="DX39" t="e">
        <f>AND(#REF!,"AAAAADFnf38=")</f>
        <v>#REF!</v>
      </c>
      <c r="DY39" t="e">
        <f>AND(#REF!,"AAAAADFnf4A=")</f>
        <v>#REF!</v>
      </c>
      <c r="DZ39" t="e">
        <f>AND(#REF!,"AAAAADFnf4E=")</f>
        <v>#REF!</v>
      </c>
      <c r="EA39" t="e">
        <f>AND(#REF!,"AAAAADFnf4I=")</f>
        <v>#REF!</v>
      </c>
      <c r="EB39" t="e">
        <f>AND(#REF!,"AAAAADFnf4M=")</f>
        <v>#REF!</v>
      </c>
      <c r="EC39" t="e">
        <f>AND(#REF!,"AAAAADFnf4Q=")</f>
        <v>#REF!</v>
      </c>
      <c r="ED39" t="e">
        <f>AND(#REF!,"AAAAADFnf4U=")</f>
        <v>#REF!</v>
      </c>
      <c r="EE39" t="e">
        <f>AND(#REF!,"AAAAADFnf4Y=")</f>
        <v>#REF!</v>
      </c>
      <c r="EF39" t="e">
        <f>AND(#REF!,"AAAAADFnf4c=")</f>
        <v>#REF!</v>
      </c>
      <c r="EG39" t="e">
        <f>AND(#REF!,"AAAAADFnf4g=")</f>
        <v>#REF!</v>
      </c>
      <c r="EH39" t="e">
        <f>AND(#REF!,"AAAAADFnf4k=")</f>
        <v>#REF!</v>
      </c>
      <c r="EI39" t="e">
        <f>AND(#REF!,"AAAAADFnf4o=")</f>
        <v>#REF!</v>
      </c>
      <c r="EJ39" t="e">
        <f>AND(#REF!,"AAAAADFnf4s=")</f>
        <v>#REF!</v>
      </c>
      <c r="EK39" t="e">
        <f>AND(#REF!,"AAAAADFnf4w=")</f>
        <v>#REF!</v>
      </c>
      <c r="EL39" t="e">
        <f>AND(#REF!,"AAAAADFnf40=")</f>
        <v>#REF!</v>
      </c>
      <c r="EM39" t="e">
        <f>AND(#REF!,"AAAAADFnf44=")</f>
        <v>#REF!</v>
      </c>
      <c r="EN39" t="e">
        <f>AND(#REF!,"AAAAADFnf48=")</f>
        <v>#REF!</v>
      </c>
      <c r="EO39" t="e">
        <f>AND(#REF!,"AAAAADFnf5A=")</f>
        <v>#REF!</v>
      </c>
      <c r="EP39" t="e">
        <f>AND(#REF!,"AAAAADFnf5E=")</f>
        <v>#REF!</v>
      </c>
      <c r="EQ39" t="e">
        <f>AND(#REF!,"AAAAADFnf5I=")</f>
        <v>#REF!</v>
      </c>
      <c r="ER39" t="e">
        <f>AND(#REF!,"AAAAADFnf5M=")</f>
        <v>#REF!</v>
      </c>
      <c r="ES39" t="e">
        <f>AND(#REF!,"AAAAADFnf5Q=")</f>
        <v>#REF!</v>
      </c>
      <c r="ET39" t="e">
        <f>AND(#REF!,"AAAAADFnf5U=")</f>
        <v>#REF!</v>
      </c>
      <c r="EU39" t="e">
        <f>AND(#REF!,"AAAAADFnf5Y=")</f>
        <v>#REF!</v>
      </c>
      <c r="EV39" t="e">
        <f>AND(#REF!,"AAAAADFnf5c=")</f>
        <v>#REF!</v>
      </c>
      <c r="EW39" t="e">
        <f>AND(#REF!,"AAAAADFnf5g=")</f>
        <v>#REF!</v>
      </c>
      <c r="EX39" t="e">
        <f>AND(#REF!,"AAAAADFnf5k=")</f>
        <v>#REF!</v>
      </c>
      <c r="EY39" t="e">
        <f>AND(#REF!,"AAAAADFnf5o=")</f>
        <v>#REF!</v>
      </c>
      <c r="EZ39" t="e">
        <f>AND(#REF!,"AAAAADFnf5s=")</f>
        <v>#REF!</v>
      </c>
      <c r="FA39" t="e">
        <f>AND(#REF!,"AAAAADFnf5w=")</f>
        <v>#REF!</v>
      </c>
      <c r="FB39" t="e">
        <f>AND(#REF!,"AAAAADFnf50=")</f>
        <v>#REF!</v>
      </c>
      <c r="FC39" t="e">
        <f>AND(#REF!,"AAAAADFnf54=")</f>
        <v>#REF!</v>
      </c>
      <c r="FD39" t="e">
        <f>AND(#REF!,"AAAAADFnf58=")</f>
        <v>#REF!</v>
      </c>
      <c r="FE39" t="e">
        <f>AND(#REF!,"AAAAADFnf6A=")</f>
        <v>#REF!</v>
      </c>
      <c r="FF39" t="e">
        <f>AND(#REF!,"AAAAADFnf6E=")</f>
        <v>#REF!</v>
      </c>
      <c r="FG39" t="e">
        <f>AND(#REF!,"AAAAADFnf6I=")</f>
        <v>#REF!</v>
      </c>
      <c r="FH39" t="e">
        <f>AND(#REF!,"AAAAADFnf6M=")</f>
        <v>#REF!</v>
      </c>
      <c r="FI39" t="e">
        <f>AND(#REF!,"AAAAADFnf6Q=")</f>
        <v>#REF!</v>
      </c>
      <c r="FJ39" t="e">
        <f>AND(#REF!,"AAAAADFnf6U=")</f>
        <v>#REF!</v>
      </c>
      <c r="FK39" t="e">
        <f>AND(#REF!,"AAAAADFnf6Y=")</f>
        <v>#REF!</v>
      </c>
      <c r="FL39" t="e">
        <f>AND(#REF!,"AAAAADFnf6c=")</f>
        <v>#REF!</v>
      </c>
      <c r="FM39" t="e">
        <f>AND(#REF!,"AAAAADFnf6g=")</f>
        <v>#REF!</v>
      </c>
      <c r="FN39" t="e">
        <f>AND(#REF!,"AAAAADFnf6k=")</f>
        <v>#REF!</v>
      </c>
      <c r="FO39" t="e">
        <f>AND(#REF!,"AAAAADFnf6o=")</f>
        <v>#REF!</v>
      </c>
      <c r="FP39" t="e">
        <f>AND(#REF!,"AAAAADFnf6s=")</f>
        <v>#REF!</v>
      </c>
      <c r="FQ39" t="e">
        <f>AND(#REF!,"AAAAADFnf6w=")</f>
        <v>#REF!</v>
      </c>
      <c r="FR39" t="e">
        <f>AND(#REF!,"AAAAADFnf60=")</f>
        <v>#REF!</v>
      </c>
      <c r="FS39" t="e">
        <f>AND(#REF!,"AAAAADFnf64=")</f>
        <v>#REF!</v>
      </c>
      <c r="FT39" t="e">
        <f>AND(#REF!,"AAAAADFnf68=")</f>
        <v>#REF!</v>
      </c>
      <c r="FU39" t="e">
        <f>AND(#REF!,"AAAAADFnf7A=")</f>
        <v>#REF!</v>
      </c>
      <c r="FV39" t="e">
        <f>AND(#REF!,"AAAAADFnf7E=")</f>
        <v>#REF!</v>
      </c>
      <c r="FW39" t="e">
        <f>AND(#REF!,"AAAAADFnf7I=")</f>
        <v>#REF!</v>
      </c>
      <c r="FX39" t="e">
        <f>AND(#REF!,"AAAAADFnf7M=")</f>
        <v>#REF!</v>
      </c>
      <c r="FY39" t="e">
        <f>AND(#REF!,"AAAAADFnf7Q=")</f>
        <v>#REF!</v>
      </c>
      <c r="FZ39" t="e">
        <f>AND(#REF!,"AAAAADFnf7U=")</f>
        <v>#REF!</v>
      </c>
      <c r="GA39" t="e">
        <f>AND(#REF!,"AAAAADFnf7Y=")</f>
        <v>#REF!</v>
      </c>
      <c r="GB39" t="e">
        <f>AND(#REF!,"AAAAADFnf7c=")</f>
        <v>#REF!</v>
      </c>
      <c r="GC39" t="e">
        <f>AND(#REF!,"AAAAADFnf7g=")</f>
        <v>#REF!</v>
      </c>
      <c r="GD39" t="e">
        <f>AND(#REF!,"AAAAADFnf7k=")</f>
        <v>#REF!</v>
      </c>
      <c r="GE39" t="e">
        <f>AND(#REF!,"AAAAADFnf7o=")</f>
        <v>#REF!</v>
      </c>
      <c r="GF39" t="e">
        <f>AND(#REF!,"AAAAADFnf7s=")</f>
        <v>#REF!</v>
      </c>
      <c r="GG39" t="e">
        <f>AND(#REF!,"AAAAADFnf7w=")</f>
        <v>#REF!</v>
      </c>
      <c r="GH39" t="e">
        <f>AND(#REF!,"AAAAADFnf70=")</f>
        <v>#REF!</v>
      </c>
      <c r="GI39" t="e">
        <f>AND(#REF!,"AAAAADFnf74=")</f>
        <v>#REF!</v>
      </c>
      <c r="GJ39" t="e">
        <f>AND(#REF!,"AAAAADFnf78=")</f>
        <v>#REF!</v>
      </c>
      <c r="GK39" t="e">
        <f>AND(#REF!,"AAAAADFnf8A=")</f>
        <v>#REF!</v>
      </c>
      <c r="GL39" t="e">
        <f>AND(#REF!,"AAAAADFnf8E=")</f>
        <v>#REF!</v>
      </c>
      <c r="GM39" t="e">
        <f>AND(#REF!,"AAAAADFnf8I=")</f>
        <v>#REF!</v>
      </c>
      <c r="GN39" t="e">
        <f>AND(#REF!,"AAAAADFnf8M=")</f>
        <v>#REF!</v>
      </c>
      <c r="GO39" t="e">
        <f>AND(#REF!,"AAAAADFnf8Q=")</f>
        <v>#REF!</v>
      </c>
      <c r="GP39" t="e">
        <f>AND(#REF!,"AAAAADFnf8U=")</f>
        <v>#REF!</v>
      </c>
      <c r="GQ39" t="e">
        <f>AND(#REF!,"AAAAADFnf8Y=")</f>
        <v>#REF!</v>
      </c>
      <c r="GR39" t="e">
        <f>IF(#REF!,"AAAAADFnf8c=",0)</f>
        <v>#REF!</v>
      </c>
      <c r="GS39" t="e">
        <f>AND(#REF!,"AAAAADFnf8g=")</f>
        <v>#REF!</v>
      </c>
      <c r="GT39" t="e">
        <f>AND(#REF!,"AAAAADFnf8k=")</f>
        <v>#REF!</v>
      </c>
      <c r="GU39" t="e">
        <f>AND(#REF!,"AAAAADFnf8o=")</f>
        <v>#REF!</v>
      </c>
      <c r="GV39" t="e">
        <f>AND(#REF!,"AAAAADFnf8s=")</f>
        <v>#REF!</v>
      </c>
      <c r="GW39" t="e">
        <f>AND(#REF!,"AAAAADFnf8w=")</f>
        <v>#REF!</v>
      </c>
      <c r="GX39" t="e">
        <f>AND(#REF!,"AAAAADFnf80=")</f>
        <v>#REF!</v>
      </c>
      <c r="GY39" t="e">
        <f>AND(#REF!,"AAAAADFnf84=")</f>
        <v>#REF!</v>
      </c>
      <c r="GZ39" t="e">
        <f>AND(#REF!,"AAAAADFnf88=")</f>
        <v>#REF!</v>
      </c>
      <c r="HA39" t="e">
        <f>AND(#REF!,"AAAAADFnf9A=")</f>
        <v>#REF!</v>
      </c>
      <c r="HB39" t="e">
        <f>AND(#REF!,"AAAAADFnf9E=")</f>
        <v>#REF!</v>
      </c>
      <c r="HC39" t="e">
        <f>AND(#REF!,"AAAAADFnf9I=")</f>
        <v>#REF!</v>
      </c>
      <c r="HD39" t="e">
        <f>AND(#REF!,"AAAAADFnf9M=")</f>
        <v>#REF!</v>
      </c>
      <c r="HE39" t="e">
        <f>AND(#REF!,"AAAAADFnf9Q=")</f>
        <v>#REF!</v>
      </c>
      <c r="HF39" t="e">
        <f>AND(#REF!,"AAAAADFnf9U=")</f>
        <v>#REF!</v>
      </c>
      <c r="HG39" t="e">
        <f>AND(#REF!,"AAAAADFnf9Y=")</f>
        <v>#REF!</v>
      </c>
      <c r="HH39" t="e">
        <f>AND(#REF!,"AAAAADFnf9c=")</f>
        <v>#REF!</v>
      </c>
      <c r="HI39" t="e">
        <f>AND(#REF!,"AAAAADFnf9g=")</f>
        <v>#REF!</v>
      </c>
      <c r="HJ39" t="e">
        <f>AND(#REF!,"AAAAADFnf9k=")</f>
        <v>#REF!</v>
      </c>
      <c r="HK39" t="e">
        <f>AND(#REF!,"AAAAADFnf9o=")</f>
        <v>#REF!</v>
      </c>
      <c r="HL39" t="e">
        <f>AND(#REF!,"AAAAADFnf9s=")</f>
        <v>#REF!</v>
      </c>
      <c r="HM39" t="e">
        <f>AND(#REF!,"AAAAADFnf9w=")</f>
        <v>#REF!</v>
      </c>
      <c r="HN39" t="e">
        <f>AND(#REF!,"AAAAADFnf90=")</f>
        <v>#REF!</v>
      </c>
      <c r="HO39" t="e">
        <f>AND(#REF!,"AAAAADFnf94=")</f>
        <v>#REF!</v>
      </c>
      <c r="HP39" t="e">
        <f>AND(#REF!,"AAAAADFnf98=")</f>
        <v>#REF!</v>
      </c>
      <c r="HQ39" t="e">
        <f>AND(#REF!,"AAAAADFnf+A=")</f>
        <v>#REF!</v>
      </c>
      <c r="HR39" t="e">
        <f>AND(#REF!,"AAAAADFnf+E=")</f>
        <v>#REF!</v>
      </c>
      <c r="HS39" t="e">
        <f>AND(#REF!,"AAAAADFnf+I=")</f>
        <v>#REF!</v>
      </c>
      <c r="HT39" t="e">
        <f>AND(#REF!,"AAAAADFnf+M=")</f>
        <v>#REF!</v>
      </c>
      <c r="HU39" t="e">
        <f>AND(#REF!,"AAAAADFnf+Q=")</f>
        <v>#REF!</v>
      </c>
      <c r="HV39" t="e">
        <f>AND(#REF!,"AAAAADFnf+U=")</f>
        <v>#REF!</v>
      </c>
      <c r="HW39" t="e">
        <f>AND(#REF!,"AAAAADFnf+Y=")</f>
        <v>#REF!</v>
      </c>
      <c r="HX39" t="e">
        <f>AND(#REF!,"AAAAADFnf+c=")</f>
        <v>#REF!</v>
      </c>
      <c r="HY39" t="e">
        <f>AND(#REF!,"AAAAADFnf+g=")</f>
        <v>#REF!</v>
      </c>
      <c r="HZ39" t="e">
        <f>AND(#REF!,"AAAAADFnf+k=")</f>
        <v>#REF!</v>
      </c>
      <c r="IA39" t="e">
        <f>AND(#REF!,"AAAAADFnf+o=")</f>
        <v>#REF!</v>
      </c>
      <c r="IB39" t="e">
        <f>AND(#REF!,"AAAAADFnf+s=")</f>
        <v>#REF!</v>
      </c>
      <c r="IC39" t="e">
        <f>AND(#REF!,"AAAAADFnf+w=")</f>
        <v>#REF!</v>
      </c>
      <c r="ID39" t="e">
        <f>AND(#REF!,"AAAAADFnf+0=")</f>
        <v>#REF!</v>
      </c>
      <c r="IE39" t="e">
        <f>AND(#REF!,"AAAAADFnf+4=")</f>
        <v>#REF!</v>
      </c>
      <c r="IF39" t="e">
        <f>AND(#REF!,"AAAAADFnf+8=")</f>
        <v>#REF!</v>
      </c>
      <c r="IG39" t="e">
        <f>AND(#REF!,"AAAAADFnf/A=")</f>
        <v>#REF!</v>
      </c>
      <c r="IH39" t="e">
        <f>AND(#REF!,"AAAAADFnf/E=")</f>
        <v>#REF!</v>
      </c>
      <c r="II39" t="e">
        <f>AND(#REF!,"AAAAADFnf/I=")</f>
        <v>#REF!</v>
      </c>
      <c r="IJ39" t="e">
        <f>AND(#REF!,"AAAAADFnf/M=")</f>
        <v>#REF!</v>
      </c>
      <c r="IK39" t="e">
        <f>AND(#REF!,"AAAAADFnf/Q=")</f>
        <v>#REF!</v>
      </c>
      <c r="IL39" t="e">
        <f>AND(#REF!,"AAAAADFnf/U=")</f>
        <v>#REF!</v>
      </c>
      <c r="IM39" t="e">
        <f>AND(#REF!,"AAAAADFnf/Y=")</f>
        <v>#REF!</v>
      </c>
      <c r="IN39" t="e">
        <f>AND(#REF!,"AAAAADFnf/c=")</f>
        <v>#REF!</v>
      </c>
      <c r="IO39" t="e">
        <f>AND(#REF!,"AAAAADFnf/g=")</f>
        <v>#REF!</v>
      </c>
      <c r="IP39" t="e">
        <f>AND(#REF!,"AAAAADFnf/k=")</f>
        <v>#REF!</v>
      </c>
      <c r="IQ39" t="e">
        <f>AND(#REF!,"AAAAADFnf/o=")</f>
        <v>#REF!</v>
      </c>
      <c r="IR39" t="e">
        <f>AND(#REF!,"AAAAADFnf/s=")</f>
        <v>#REF!</v>
      </c>
      <c r="IS39" t="e">
        <f>AND(#REF!,"AAAAADFnf/w=")</f>
        <v>#REF!</v>
      </c>
      <c r="IT39" t="e">
        <f>AND(#REF!,"AAAAADFnf/0=")</f>
        <v>#REF!</v>
      </c>
      <c r="IU39" t="e">
        <f>AND(#REF!,"AAAAADFnf/4=")</f>
        <v>#REF!</v>
      </c>
      <c r="IV39" t="e">
        <f>AND(#REF!,"AAAAADFnf/8=")</f>
        <v>#REF!</v>
      </c>
    </row>
    <row r="40" spans="1:256" ht="15">
      <c r="A40" t="e">
        <f>AND(#REF!,"AAAAAF+LewA=")</f>
        <v>#REF!</v>
      </c>
      <c r="B40" t="e">
        <f>AND(#REF!,"AAAAAF+LewE=")</f>
        <v>#REF!</v>
      </c>
      <c r="C40" t="e">
        <f>AND(#REF!,"AAAAAF+LewI=")</f>
        <v>#REF!</v>
      </c>
      <c r="D40" t="e">
        <f>AND(#REF!,"AAAAAF+LewM=")</f>
        <v>#REF!</v>
      </c>
      <c r="E40" t="e">
        <f>AND(#REF!,"AAAAAF+LewQ=")</f>
        <v>#REF!</v>
      </c>
      <c r="F40" t="e">
        <f>AND(#REF!,"AAAAAF+LewU=")</f>
        <v>#REF!</v>
      </c>
      <c r="G40" t="e">
        <f>AND(#REF!,"AAAAAF+LewY=")</f>
        <v>#REF!</v>
      </c>
      <c r="H40" t="e">
        <f>AND(#REF!,"AAAAAF+Lewc=")</f>
        <v>#REF!</v>
      </c>
      <c r="I40" t="e">
        <f>AND(#REF!,"AAAAAF+Lewg=")</f>
        <v>#REF!</v>
      </c>
      <c r="J40" t="e">
        <f>AND(#REF!,"AAAAAF+Lewk=")</f>
        <v>#REF!</v>
      </c>
      <c r="K40" t="e">
        <f>AND(#REF!,"AAAAAF+Lewo=")</f>
        <v>#REF!</v>
      </c>
      <c r="L40" t="e">
        <f>AND(#REF!,"AAAAAF+Lews=")</f>
        <v>#REF!</v>
      </c>
      <c r="M40" t="e">
        <f>AND(#REF!,"AAAAAF+Leww=")</f>
        <v>#REF!</v>
      </c>
      <c r="N40" t="e">
        <f>AND(#REF!,"AAAAAF+Lew0=")</f>
        <v>#REF!</v>
      </c>
      <c r="O40" t="e">
        <f>AND(#REF!,"AAAAAF+Lew4=")</f>
        <v>#REF!</v>
      </c>
      <c r="P40" t="e">
        <f>AND(#REF!,"AAAAAF+Lew8=")</f>
        <v>#REF!</v>
      </c>
      <c r="Q40" t="e">
        <f>AND(#REF!,"AAAAAF+LexA=")</f>
        <v>#REF!</v>
      </c>
      <c r="R40" t="e">
        <f>AND(#REF!,"AAAAAF+LexE=")</f>
        <v>#REF!</v>
      </c>
      <c r="S40" t="e">
        <f>AND(#REF!,"AAAAAF+LexI=")</f>
        <v>#REF!</v>
      </c>
      <c r="T40" t="e">
        <f>AND(#REF!,"AAAAAF+LexM=")</f>
        <v>#REF!</v>
      </c>
      <c r="U40" t="e">
        <f>AND(#REF!,"AAAAAF+LexQ=")</f>
        <v>#REF!</v>
      </c>
      <c r="V40" t="e">
        <f>AND(#REF!,"AAAAAF+LexU=")</f>
        <v>#REF!</v>
      </c>
      <c r="W40" t="e">
        <f>AND(#REF!,"AAAAAF+LexY=")</f>
        <v>#REF!</v>
      </c>
      <c r="X40" t="e">
        <f>AND(#REF!,"AAAAAF+Lexc=")</f>
        <v>#REF!</v>
      </c>
      <c r="Y40" t="e">
        <f>AND(#REF!,"AAAAAF+Lexg=")</f>
        <v>#REF!</v>
      </c>
      <c r="Z40" t="e">
        <f>AND(#REF!,"AAAAAF+Lexk=")</f>
        <v>#REF!</v>
      </c>
      <c r="AA40" t="e">
        <f>AND(#REF!,"AAAAAF+Lexo=")</f>
        <v>#REF!</v>
      </c>
      <c r="AB40" t="e">
        <f>AND(#REF!,"AAAAAF+Lexs=")</f>
        <v>#REF!</v>
      </c>
      <c r="AC40" t="e">
        <f>AND(#REF!,"AAAAAF+Lexw=")</f>
        <v>#REF!</v>
      </c>
      <c r="AD40" t="e">
        <f>AND(#REF!,"AAAAAF+Lex0=")</f>
        <v>#REF!</v>
      </c>
      <c r="AE40" t="e">
        <f>AND(#REF!,"AAAAAF+Lex4=")</f>
        <v>#REF!</v>
      </c>
      <c r="AF40" t="e">
        <f>AND(#REF!,"AAAAAF+Lex8=")</f>
        <v>#REF!</v>
      </c>
      <c r="AG40" t="e">
        <f>AND(#REF!,"AAAAAF+LeyA=")</f>
        <v>#REF!</v>
      </c>
      <c r="AH40" t="e">
        <f>AND(#REF!,"AAAAAF+LeyE=")</f>
        <v>#REF!</v>
      </c>
      <c r="AI40" t="e">
        <f>AND(#REF!,"AAAAAF+LeyI=")</f>
        <v>#REF!</v>
      </c>
      <c r="AJ40" t="e">
        <f>AND(#REF!,"AAAAAF+LeyM=")</f>
        <v>#REF!</v>
      </c>
      <c r="AK40" t="e">
        <f>AND(#REF!,"AAAAAF+LeyQ=")</f>
        <v>#REF!</v>
      </c>
      <c r="AL40" t="e">
        <f>AND(#REF!,"AAAAAF+LeyU=")</f>
        <v>#REF!</v>
      </c>
      <c r="AM40" t="e">
        <f>AND(#REF!,"AAAAAF+LeyY=")</f>
        <v>#REF!</v>
      </c>
      <c r="AN40" t="e">
        <f>AND(#REF!,"AAAAAF+Leyc=")</f>
        <v>#REF!</v>
      </c>
      <c r="AO40" t="e">
        <f>AND(#REF!,"AAAAAF+Leyg=")</f>
        <v>#REF!</v>
      </c>
      <c r="AP40" t="e">
        <f>AND(#REF!,"AAAAAF+Leyk=")</f>
        <v>#REF!</v>
      </c>
      <c r="AQ40" t="e">
        <f>AND(#REF!,"AAAAAF+Leyo=")</f>
        <v>#REF!</v>
      </c>
      <c r="AR40" t="e">
        <f>AND(#REF!,"AAAAAF+Leys=")</f>
        <v>#REF!</v>
      </c>
      <c r="AS40" t="e">
        <f>AND(#REF!,"AAAAAF+Leyw=")</f>
        <v>#REF!</v>
      </c>
      <c r="AT40" t="e">
        <f>AND(#REF!,"AAAAAF+Ley0=")</f>
        <v>#REF!</v>
      </c>
      <c r="AU40" t="e">
        <f>AND(#REF!,"AAAAAF+Ley4=")</f>
        <v>#REF!</v>
      </c>
      <c r="AV40" t="e">
        <f>AND(#REF!,"AAAAAF+Ley8=")</f>
        <v>#REF!</v>
      </c>
      <c r="AW40" t="e">
        <f>AND(#REF!,"AAAAAF+LezA=")</f>
        <v>#REF!</v>
      </c>
      <c r="AX40" t="e">
        <f>AND(#REF!,"AAAAAF+LezE=")</f>
        <v>#REF!</v>
      </c>
      <c r="AY40" t="e">
        <f>AND(#REF!,"AAAAAF+LezI=")</f>
        <v>#REF!</v>
      </c>
      <c r="AZ40" t="e">
        <f>AND(#REF!,"AAAAAF+LezM=")</f>
        <v>#REF!</v>
      </c>
      <c r="BA40" t="e">
        <f>AND(#REF!,"AAAAAF+LezQ=")</f>
        <v>#REF!</v>
      </c>
      <c r="BB40" t="e">
        <f>AND(#REF!,"AAAAAF+LezU=")</f>
        <v>#REF!</v>
      </c>
      <c r="BC40" t="e">
        <f>AND(#REF!,"AAAAAF+LezY=")</f>
        <v>#REF!</v>
      </c>
      <c r="BD40" t="e">
        <f>AND(#REF!,"AAAAAF+Lezc=")</f>
        <v>#REF!</v>
      </c>
      <c r="BE40" t="e">
        <f>AND(#REF!,"AAAAAF+Lezg=")</f>
        <v>#REF!</v>
      </c>
      <c r="BF40" t="e">
        <f>AND(#REF!,"AAAAAF+Lezk=")</f>
        <v>#REF!</v>
      </c>
      <c r="BG40" t="e">
        <f>AND(#REF!,"AAAAAF+Lezo=")</f>
        <v>#REF!</v>
      </c>
      <c r="BH40" t="e">
        <f>AND(#REF!,"AAAAAF+Lezs=")</f>
        <v>#REF!</v>
      </c>
      <c r="BI40" t="e">
        <f>AND(#REF!,"AAAAAF+Lezw=")</f>
        <v>#REF!</v>
      </c>
      <c r="BJ40" t="e">
        <f>AND(#REF!,"AAAAAF+Lez0=")</f>
        <v>#REF!</v>
      </c>
      <c r="BK40" t="e">
        <f>AND(#REF!,"AAAAAF+Lez4=")</f>
        <v>#REF!</v>
      </c>
      <c r="BL40" t="e">
        <f>AND(#REF!,"AAAAAF+Lez8=")</f>
        <v>#REF!</v>
      </c>
      <c r="BM40" t="e">
        <f>AND(#REF!,"AAAAAF+Le0A=")</f>
        <v>#REF!</v>
      </c>
      <c r="BN40" t="e">
        <f>AND(#REF!,"AAAAAF+Le0E=")</f>
        <v>#REF!</v>
      </c>
      <c r="BO40" t="e">
        <f>AND(#REF!,"AAAAAF+Le0I=")</f>
        <v>#REF!</v>
      </c>
      <c r="BP40" t="e">
        <f>AND(#REF!,"AAAAAF+Le0M=")</f>
        <v>#REF!</v>
      </c>
      <c r="BQ40" t="e">
        <f>AND(#REF!,"AAAAAF+Le0Q=")</f>
        <v>#REF!</v>
      </c>
      <c r="BR40" t="e">
        <f>AND(#REF!,"AAAAAF+Le0U=")</f>
        <v>#REF!</v>
      </c>
      <c r="BS40" t="e">
        <f>AND(#REF!,"AAAAAF+Le0Y=")</f>
        <v>#REF!</v>
      </c>
      <c r="BT40" t="e">
        <f>AND(#REF!,"AAAAAF+Le0c=")</f>
        <v>#REF!</v>
      </c>
      <c r="BU40" t="e">
        <f>AND(#REF!,"AAAAAF+Le0g=")</f>
        <v>#REF!</v>
      </c>
      <c r="BV40" t="e">
        <f>AND(#REF!,"AAAAAF+Le0k=")</f>
        <v>#REF!</v>
      </c>
      <c r="BW40" t="e">
        <f>AND(#REF!,"AAAAAF+Le0o=")</f>
        <v>#REF!</v>
      </c>
      <c r="BX40" t="e">
        <f>AND(#REF!,"AAAAAF+Le0s=")</f>
        <v>#REF!</v>
      </c>
      <c r="BY40" t="e">
        <f>AND(#REF!,"AAAAAF+Le0w=")</f>
        <v>#REF!</v>
      </c>
      <c r="BZ40" t="e">
        <f>AND(#REF!,"AAAAAF+Le00=")</f>
        <v>#REF!</v>
      </c>
      <c r="CA40" t="e">
        <f>AND(#REF!,"AAAAAF+Le04=")</f>
        <v>#REF!</v>
      </c>
      <c r="CB40" t="e">
        <f>IF(#REF!,"AAAAAF+Le08=",0)</f>
        <v>#REF!</v>
      </c>
      <c r="CC40" t="e">
        <f>AND(#REF!,"AAAAAF+Le1A=")</f>
        <v>#REF!</v>
      </c>
      <c r="CD40" t="e">
        <f>AND(#REF!,"AAAAAF+Le1E=")</f>
        <v>#REF!</v>
      </c>
      <c r="CE40" t="e">
        <f>AND(#REF!,"AAAAAF+Le1I=")</f>
        <v>#REF!</v>
      </c>
      <c r="CF40" t="e">
        <f>AND(#REF!,"AAAAAF+Le1M=")</f>
        <v>#REF!</v>
      </c>
      <c r="CG40" t="e">
        <f>AND(#REF!,"AAAAAF+Le1Q=")</f>
        <v>#REF!</v>
      </c>
      <c r="CH40" t="e">
        <f>AND(#REF!,"AAAAAF+Le1U=")</f>
        <v>#REF!</v>
      </c>
      <c r="CI40" t="e">
        <f>AND(#REF!,"AAAAAF+Le1Y=")</f>
        <v>#REF!</v>
      </c>
      <c r="CJ40" t="e">
        <f>AND(#REF!,"AAAAAF+Le1c=")</f>
        <v>#REF!</v>
      </c>
      <c r="CK40" t="e">
        <f>AND(#REF!,"AAAAAF+Le1g=")</f>
        <v>#REF!</v>
      </c>
      <c r="CL40" t="e">
        <f>AND(#REF!,"AAAAAF+Le1k=")</f>
        <v>#REF!</v>
      </c>
      <c r="CM40" t="e">
        <f>AND(#REF!,"AAAAAF+Le1o=")</f>
        <v>#REF!</v>
      </c>
      <c r="CN40" t="e">
        <f>AND(#REF!,"AAAAAF+Le1s=")</f>
        <v>#REF!</v>
      </c>
      <c r="CO40" t="e">
        <f>AND(#REF!,"AAAAAF+Le1w=")</f>
        <v>#REF!</v>
      </c>
      <c r="CP40" t="e">
        <f>AND(#REF!,"AAAAAF+Le10=")</f>
        <v>#REF!</v>
      </c>
      <c r="CQ40" t="e">
        <f>AND(#REF!,"AAAAAF+Le14=")</f>
        <v>#REF!</v>
      </c>
      <c r="CR40" t="e">
        <f>AND(#REF!,"AAAAAF+Le18=")</f>
        <v>#REF!</v>
      </c>
      <c r="CS40" t="e">
        <f>AND(#REF!,"AAAAAF+Le2A=")</f>
        <v>#REF!</v>
      </c>
      <c r="CT40" t="e">
        <f>AND(#REF!,"AAAAAF+Le2E=")</f>
        <v>#REF!</v>
      </c>
      <c r="CU40" t="e">
        <f>AND(#REF!,"AAAAAF+Le2I=")</f>
        <v>#REF!</v>
      </c>
      <c r="CV40" t="e">
        <f>AND(#REF!,"AAAAAF+Le2M=")</f>
        <v>#REF!</v>
      </c>
      <c r="CW40" t="e">
        <f>AND(#REF!,"AAAAAF+Le2Q=")</f>
        <v>#REF!</v>
      </c>
      <c r="CX40" t="e">
        <f>AND(#REF!,"AAAAAF+Le2U=")</f>
        <v>#REF!</v>
      </c>
      <c r="CY40" t="e">
        <f>AND(#REF!,"AAAAAF+Le2Y=")</f>
        <v>#REF!</v>
      </c>
      <c r="CZ40" t="e">
        <f>AND(#REF!,"AAAAAF+Le2c=")</f>
        <v>#REF!</v>
      </c>
      <c r="DA40" t="e">
        <f>AND(#REF!,"AAAAAF+Le2g=")</f>
        <v>#REF!</v>
      </c>
      <c r="DB40" t="e">
        <f>AND(#REF!,"AAAAAF+Le2k=")</f>
        <v>#REF!</v>
      </c>
      <c r="DC40" t="e">
        <f>AND(#REF!,"AAAAAF+Le2o=")</f>
        <v>#REF!</v>
      </c>
      <c r="DD40" t="e">
        <f>AND(#REF!,"AAAAAF+Le2s=")</f>
        <v>#REF!</v>
      </c>
      <c r="DE40" t="e">
        <f>AND(#REF!,"AAAAAF+Le2w=")</f>
        <v>#REF!</v>
      </c>
      <c r="DF40" t="e">
        <f>AND(#REF!,"AAAAAF+Le20=")</f>
        <v>#REF!</v>
      </c>
      <c r="DG40" t="e">
        <f>AND(#REF!,"AAAAAF+Le24=")</f>
        <v>#REF!</v>
      </c>
      <c r="DH40" t="e">
        <f>AND(#REF!,"AAAAAF+Le28=")</f>
        <v>#REF!</v>
      </c>
      <c r="DI40" t="e">
        <f>AND(#REF!,"AAAAAF+Le3A=")</f>
        <v>#REF!</v>
      </c>
      <c r="DJ40" t="e">
        <f>AND(#REF!,"AAAAAF+Le3E=")</f>
        <v>#REF!</v>
      </c>
      <c r="DK40" t="e">
        <f>AND(#REF!,"AAAAAF+Le3I=")</f>
        <v>#REF!</v>
      </c>
      <c r="DL40" t="e">
        <f>AND(#REF!,"AAAAAF+Le3M=")</f>
        <v>#REF!</v>
      </c>
      <c r="DM40" t="e">
        <f>AND(#REF!,"AAAAAF+Le3Q=")</f>
        <v>#REF!</v>
      </c>
      <c r="DN40" t="e">
        <f>AND(#REF!,"AAAAAF+Le3U=")</f>
        <v>#REF!</v>
      </c>
      <c r="DO40" t="e">
        <f>AND(#REF!,"AAAAAF+Le3Y=")</f>
        <v>#REF!</v>
      </c>
      <c r="DP40" t="e">
        <f>AND(#REF!,"AAAAAF+Le3c=")</f>
        <v>#REF!</v>
      </c>
      <c r="DQ40" t="e">
        <f>AND(#REF!,"AAAAAF+Le3g=")</f>
        <v>#REF!</v>
      </c>
      <c r="DR40" t="e">
        <f>AND(#REF!,"AAAAAF+Le3k=")</f>
        <v>#REF!</v>
      </c>
      <c r="DS40" t="e">
        <f>AND(#REF!,"AAAAAF+Le3o=")</f>
        <v>#REF!</v>
      </c>
      <c r="DT40" t="e">
        <f>AND(#REF!,"AAAAAF+Le3s=")</f>
        <v>#REF!</v>
      </c>
      <c r="DU40" t="e">
        <f>AND(#REF!,"AAAAAF+Le3w=")</f>
        <v>#REF!</v>
      </c>
      <c r="DV40" t="e">
        <f>AND(#REF!,"AAAAAF+Le30=")</f>
        <v>#REF!</v>
      </c>
      <c r="DW40" t="e">
        <f>AND(#REF!,"AAAAAF+Le34=")</f>
        <v>#REF!</v>
      </c>
      <c r="DX40" t="e">
        <f>AND(#REF!,"AAAAAF+Le38=")</f>
        <v>#REF!</v>
      </c>
      <c r="DY40" t="e">
        <f>AND(#REF!,"AAAAAF+Le4A=")</f>
        <v>#REF!</v>
      </c>
      <c r="DZ40" t="e">
        <f>AND(#REF!,"AAAAAF+Le4E=")</f>
        <v>#REF!</v>
      </c>
      <c r="EA40" t="e">
        <f>AND(#REF!,"AAAAAF+Le4I=")</f>
        <v>#REF!</v>
      </c>
      <c r="EB40" t="e">
        <f>AND(#REF!,"AAAAAF+Le4M=")</f>
        <v>#REF!</v>
      </c>
      <c r="EC40" t="e">
        <f>AND(#REF!,"AAAAAF+Le4Q=")</f>
        <v>#REF!</v>
      </c>
      <c r="ED40" t="e">
        <f>AND(#REF!,"AAAAAF+Le4U=")</f>
        <v>#REF!</v>
      </c>
      <c r="EE40" t="e">
        <f>AND(#REF!,"AAAAAF+Le4Y=")</f>
        <v>#REF!</v>
      </c>
      <c r="EF40" t="e">
        <f>AND(#REF!,"AAAAAF+Le4c=")</f>
        <v>#REF!</v>
      </c>
      <c r="EG40" t="e">
        <f>AND(#REF!,"AAAAAF+Le4g=")</f>
        <v>#REF!</v>
      </c>
      <c r="EH40" t="e">
        <f>AND(#REF!,"AAAAAF+Le4k=")</f>
        <v>#REF!</v>
      </c>
      <c r="EI40" t="e">
        <f>AND(#REF!,"AAAAAF+Le4o=")</f>
        <v>#REF!</v>
      </c>
      <c r="EJ40" t="e">
        <f>AND(#REF!,"AAAAAF+Le4s=")</f>
        <v>#REF!</v>
      </c>
      <c r="EK40" t="e">
        <f>AND(#REF!,"AAAAAF+Le4w=")</f>
        <v>#REF!</v>
      </c>
      <c r="EL40" t="e">
        <f>AND(#REF!,"AAAAAF+Le40=")</f>
        <v>#REF!</v>
      </c>
      <c r="EM40" t="e">
        <f>AND(#REF!,"AAAAAF+Le44=")</f>
        <v>#REF!</v>
      </c>
      <c r="EN40" t="e">
        <f>AND(#REF!,"AAAAAF+Le48=")</f>
        <v>#REF!</v>
      </c>
      <c r="EO40" t="e">
        <f>AND(#REF!,"AAAAAF+Le5A=")</f>
        <v>#REF!</v>
      </c>
      <c r="EP40" t="e">
        <f>AND(#REF!,"AAAAAF+Le5E=")</f>
        <v>#REF!</v>
      </c>
      <c r="EQ40" t="e">
        <f>AND(#REF!,"AAAAAF+Le5I=")</f>
        <v>#REF!</v>
      </c>
      <c r="ER40" t="e">
        <f>AND(#REF!,"AAAAAF+Le5M=")</f>
        <v>#REF!</v>
      </c>
      <c r="ES40" t="e">
        <f>AND(#REF!,"AAAAAF+Le5Q=")</f>
        <v>#REF!</v>
      </c>
      <c r="ET40" t="e">
        <f>AND(#REF!,"AAAAAF+Le5U=")</f>
        <v>#REF!</v>
      </c>
      <c r="EU40" t="e">
        <f>AND(#REF!,"AAAAAF+Le5Y=")</f>
        <v>#REF!</v>
      </c>
      <c r="EV40" t="e">
        <f>AND(#REF!,"AAAAAF+Le5c=")</f>
        <v>#REF!</v>
      </c>
      <c r="EW40" t="e">
        <f>AND(#REF!,"AAAAAF+Le5g=")</f>
        <v>#REF!</v>
      </c>
      <c r="EX40" t="e">
        <f>AND(#REF!,"AAAAAF+Le5k=")</f>
        <v>#REF!</v>
      </c>
      <c r="EY40" t="e">
        <f>AND(#REF!,"AAAAAF+Le5o=")</f>
        <v>#REF!</v>
      </c>
      <c r="EZ40" t="e">
        <f>AND(#REF!,"AAAAAF+Le5s=")</f>
        <v>#REF!</v>
      </c>
      <c r="FA40" t="e">
        <f>AND(#REF!,"AAAAAF+Le5w=")</f>
        <v>#REF!</v>
      </c>
      <c r="FB40" t="e">
        <f>AND(#REF!,"AAAAAF+Le50=")</f>
        <v>#REF!</v>
      </c>
      <c r="FC40" t="e">
        <f>AND(#REF!,"AAAAAF+Le54=")</f>
        <v>#REF!</v>
      </c>
      <c r="FD40" t="e">
        <f>AND(#REF!,"AAAAAF+Le58=")</f>
        <v>#REF!</v>
      </c>
      <c r="FE40" t="e">
        <f>AND(#REF!,"AAAAAF+Le6A=")</f>
        <v>#REF!</v>
      </c>
      <c r="FF40" t="e">
        <f>AND(#REF!,"AAAAAF+Le6E=")</f>
        <v>#REF!</v>
      </c>
      <c r="FG40" t="e">
        <f>AND(#REF!,"AAAAAF+Le6I=")</f>
        <v>#REF!</v>
      </c>
      <c r="FH40" t="e">
        <f>AND(#REF!,"AAAAAF+Le6M=")</f>
        <v>#REF!</v>
      </c>
      <c r="FI40" t="e">
        <f>AND(#REF!,"AAAAAF+Le6Q=")</f>
        <v>#REF!</v>
      </c>
      <c r="FJ40" t="e">
        <f>AND(#REF!,"AAAAAF+Le6U=")</f>
        <v>#REF!</v>
      </c>
      <c r="FK40" t="e">
        <f>AND(#REF!,"AAAAAF+Le6Y=")</f>
        <v>#REF!</v>
      </c>
      <c r="FL40" t="e">
        <f>AND(#REF!,"AAAAAF+Le6c=")</f>
        <v>#REF!</v>
      </c>
      <c r="FM40" t="e">
        <f>AND(#REF!,"AAAAAF+Le6g=")</f>
        <v>#REF!</v>
      </c>
      <c r="FN40" t="e">
        <f>AND(#REF!,"AAAAAF+Le6k=")</f>
        <v>#REF!</v>
      </c>
      <c r="FO40" t="e">
        <f>AND(#REF!,"AAAAAF+Le6o=")</f>
        <v>#REF!</v>
      </c>
      <c r="FP40" t="e">
        <f>AND(#REF!,"AAAAAF+Le6s=")</f>
        <v>#REF!</v>
      </c>
      <c r="FQ40" t="e">
        <f>AND(#REF!,"AAAAAF+Le6w=")</f>
        <v>#REF!</v>
      </c>
      <c r="FR40" t="e">
        <f>AND(#REF!,"AAAAAF+Le60=")</f>
        <v>#REF!</v>
      </c>
      <c r="FS40" t="e">
        <f>AND(#REF!,"AAAAAF+Le64=")</f>
        <v>#REF!</v>
      </c>
      <c r="FT40" t="e">
        <f>AND(#REF!,"AAAAAF+Le68=")</f>
        <v>#REF!</v>
      </c>
      <c r="FU40" t="e">
        <f>AND(#REF!,"AAAAAF+Le7A=")</f>
        <v>#REF!</v>
      </c>
      <c r="FV40" t="e">
        <f>AND(#REF!,"AAAAAF+Le7E=")</f>
        <v>#REF!</v>
      </c>
      <c r="FW40" t="e">
        <f>AND(#REF!,"AAAAAF+Le7I=")</f>
        <v>#REF!</v>
      </c>
      <c r="FX40" t="e">
        <f>AND(#REF!,"AAAAAF+Le7M=")</f>
        <v>#REF!</v>
      </c>
      <c r="FY40" t="e">
        <f>AND(#REF!,"AAAAAF+Le7Q=")</f>
        <v>#REF!</v>
      </c>
      <c r="FZ40" t="e">
        <f>AND(#REF!,"AAAAAF+Le7U=")</f>
        <v>#REF!</v>
      </c>
      <c r="GA40" t="e">
        <f>AND(#REF!,"AAAAAF+Le7Y=")</f>
        <v>#REF!</v>
      </c>
      <c r="GB40" t="e">
        <f>AND(#REF!,"AAAAAF+Le7c=")</f>
        <v>#REF!</v>
      </c>
      <c r="GC40" t="e">
        <f>AND(#REF!,"AAAAAF+Le7g=")</f>
        <v>#REF!</v>
      </c>
      <c r="GD40" t="e">
        <f>AND(#REF!,"AAAAAF+Le7k=")</f>
        <v>#REF!</v>
      </c>
      <c r="GE40" t="e">
        <f>AND(#REF!,"AAAAAF+Le7o=")</f>
        <v>#REF!</v>
      </c>
      <c r="GF40" t="e">
        <f>AND(#REF!,"AAAAAF+Le7s=")</f>
        <v>#REF!</v>
      </c>
      <c r="GG40" t="e">
        <f>AND(#REF!,"AAAAAF+Le7w=")</f>
        <v>#REF!</v>
      </c>
      <c r="GH40" t="e">
        <f>AND(#REF!,"AAAAAF+Le70=")</f>
        <v>#REF!</v>
      </c>
      <c r="GI40" t="e">
        <f>AND(#REF!,"AAAAAF+Le74=")</f>
        <v>#REF!</v>
      </c>
      <c r="GJ40" t="e">
        <f>AND(#REF!,"AAAAAF+Le78=")</f>
        <v>#REF!</v>
      </c>
      <c r="GK40" t="e">
        <f>AND(#REF!,"AAAAAF+Le8A=")</f>
        <v>#REF!</v>
      </c>
      <c r="GL40" t="e">
        <f>AND(#REF!,"AAAAAF+Le8E=")</f>
        <v>#REF!</v>
      </c>
      <c r="GM40" t="e">
        <f>AND(#REF!,"AAAAAF+Le8I=")</f>
        <v>#REF!</v>
      </c>
      <c r="GN40" t="e">
        <f>AND(#REF!,"AAAAAF+Le8M=")</f>
        <v>#REF!</v>
      </c>
      <c r="GO40" t="e">
        <f>AND(#REF!,"AAAAAF+Le8Q=")</f>
        <v>#REF!</v>
      </c>
      <c r="GP40" t="e">
        <f>AND(#REF!,"AAAAAF+Le8U=")</f>
        <v>#REF!</v>
      </c>
      <c r="GQ40" t="e">
        <f>AND(#REF!,"AAAAAF+Le8Y=")</f>
        <v>#REF!</v>
      </c>
      <c r="GR40" t="e">
        <f>AND(#REF!,"AAAAAF+Le8c=")</f>
        <v>#REF!</v>
      </c>
      <c r="GS40" t="e">
        <f>AND(#REF!,"AAAAAF+Le8g=")</f>
        <v>#REF!</v>
      </c>
      <c r="GT40" t="e">
        <f>AND(#REF!,"AAAAAF+Le8k=")</f>
        <v>#REF!</v>
      </c>
      <c r="GU40" t="e">
        <f>AND(#REF!,"AAAAAF+Le8o=")</f>
        <v>#REF!</v>
      </c>
      <c r="GV40" t="e">
        <f>AND(#REF!,"AAAAAF+Le8s=")</f>
        <v>#REF!</v>
      </c>
      <c r="GW40" t="e">
        <f>AND(#REF!,"AAAAAF+Le8w=")</f>
        <v>#REF!</v>
      </c>
      <c r="GX40" t="e">
        <f>AND(#REF!,"AAAAAF+Le80=")</f>
        <v>#REF!</v>
      </c>
      <c r="GY40" t="e">
        <f>AND(#REF!,"AAAAAF+Le84=")</f>
        <v>#REF!</v>
      </c>
      <c r="GZ40" t="e">
        <f>AND(#REF!,"AAAAAF+Le88=")</f>
        <v>#REF!</v>
      </c>
      <c r="HA40" t="e">
        <f>AND(#REF!,"AAAAAF+Le9A=")</f>
        <v>#REF!</v>
      </c>
      <c r="HB40" t="e">
        <f>AND(#REF!,"AAAAAF+Le9E=")</f>
        <v>#REF!</v>
      </c>
      <c r="HC40" t="e">
        <f>AND(#REF!,"AAAAAF+Le9I=")</f>
        <v>#REF!</v>
      </c>
      <c r="HD40" t="e">
        <f>AND(#REF!,"AAAAAF+Le9M=")</f>
        <v>#REF!</v>
      </c>
      <c r="HE40" t="e">
        <f>AND(#REF!,"AAAAAF+Le9Q=")</f>
        <v>#REF!</v>
      </c>
      <c r="HF40" t="e">
        <f>AND(#REF!,"AAAAAF+Le9U=")</f>
        <v>#REF!</v>
      </c>
      <c r="HG40" t="e">
        <f>AND(#REF!,"AAAAAF+Le9Y=")</f>
        <v>#REF!</v>
      </c>
      <c r="HH40" t="e">
        <f>IF(#REF!,"AAAAAF+Le9c=",0)</f>
        <v>#REF!</v>
      </c>
      <c r="HI40" t="e">
        <f>AND(#REF!,"AAAAAF+Le9g=")</f>
        <v>#REF!</v>
      </c>
      <c r="HJ40" t="e">
        <f>AND(#REF!,"AAAAAF+Le9k=")</f>
        <v>#REF!</v>
      </c>
      <c r="HK40" t="e">
        <f>AND(#REF!,"AAAAAF+Le9o=")</f>
        <v>#REF!</v>
      </c>
      <c r="HL40" t="e">
        <f>AND(#REF!,"AAAAAF+Le9s=")</f>
        <v>#REF!</v>
      </c>
      <c r="HM40" t="e">
        <f>AND(#REF!,"AAAAAF+Le9w=")</f>
        <v>#REF!</v>
      </c>
      <c r="HN40" t="e">
        <f>AND(#REF!,"AAAAAF+Le90=")</f>
        <v>#REF!</v>
      </c>
      <c r="HO40" t="e">
        <f>AND(#REF!,"AAAAAF+Le94=")</f>
        <v>#REF!</v>
      </c>
      <c r="HP40" t="e">
        <f>AND(#REF!,"AAAAAF+Le98=")</f>
        <v>#REF!</v>
      </c>
      <c r="HQ40" t="e">
        <f>AND(#REF!,"AAAAAF+Le+A=")</f>
        <v>#REF!</v>
      </c>
      <c r="HR40" t="e">
        <f>AND(#REF!,"AAAAAF+Le+E=")</f>
        <v>#REF!</v>
      </c>
      <c r="HS40" t="e">
        <f>AND(#REF!,"AAAAAF+Le+I=")</f>
        <v>#REF!</v>
      </c>
      <c r="HT40" t="e">
        <f>AND(#REF!,"AAAAAF+Le+M=")</f>
        <v>#REF!</v>
      </c>
      <c r="HU40" t="e">
        <f>AND(#REF!,"AAAAAF+Le+Q=")</f>
        <v>#REF!</v>
      </c>
      <c r="HV40" t="e">
        <f>AND(#REF!,"AAAAAF+Le+U=")</f>
        <v>#REF!</v>
      </c>
      <c r="HW40" t="e">
        <f>AND(#REF!,"AAAAAF+Le+Y=")</f>
        <v>#REF!</v>
      </c>
      <c r="HX40" t="e">
        <f>AND(#REF!,"AAAAAF+Le+c=")</f>
        <v>#REF!</v>
      </c>
      <c r="HY40" t="e">
        <f>AND(#REF!,"AAAAAF+Le+g=")</f>
        <v>#REF!</v>
      </c>
      <c r="HZ40" t="e">
        <f>AND(#REF!,"AAAAAF+Le+k=")</f>
        <v>#REF!</v>
      </c>
      <c r="IA40" t="e">
        <f>AND(#REF!,"AAAAAF+Le+o=")</f>
        <v>#REF!</v>
      </c>
      <c r="IB40" t="e">
        <f>AND(#REF!,"AAAAAF+Le+s=")</f>
        <v>#REF!</v>
      </c>
      <c r="IC40" t="e">
        <f>AND(#REF!,"AAAAAF+Le+w=")</f>
        <v>#REF!</v>
      </c>
      <c r="ID40" t="e">
        <f>AND(#REF!,"AAAAAF+Le+0=")</f>
        <v>#REF!</v>
      </c>
      <c r="IE40" t="e">
        <f>AND(#REF!,"AAAAAF+Le+4=")</f>
        <v>#REF!</v>
      </c>
      <c r="IF40" t="e">
        <f>AND(#REF!,"AAAAAF+Le+8=")</f>
        <v>#REF!</v>
      </c>
      <c r="IG40" t="e">
        <f>AND(#REF!,"AAAAAF+Le/A=")</f>
        <v>#REF!</v>
      </c>
      <c r="IH40" t="e">
        <f>AND(#REF!,"AAAAAF+Le/E=")</f>
        <v>#REF!</v>
      </c>
      <c r="II40" t="e">
        <f>AND(#REF!,"AAAAAF+Le/I=")</f>
        <v>#REF!</v>
      </c>
      <c r="IJ40" t="e">
        <f>AND(#REF!,"AAAAAF+Le/M=")</f>
        <v>#REF!</v>
      </c>
      <c r="IK40" t="e">
        <f>AND(#REF!,"AAAAAF+Le/Q=")</f>
        <v>#REF!</v>
      </c>
      <c r="IL40" t="e">
        <f>AND(#REF!,"AAAAAF+Le/U=")</f>
        <v>#REF!</v>
      </c>
      <c r="IM40" t="e">
        <f>AND(#REF!,"AAAAAF+Le/Y=")</f>
        <v>#REF!</v>
      </c>
      <c r="IN40" t="e">
        <f>AND(#REF!,"AAAAAF+Le/c=")</f>
        <v>#REF!</v>
      </c>
      <c r="IO40" t="e">
        <f>AND(#REF!,"AAAAAF+Le/g=")</f>
        <v>#REF!</v>
      </c>
      <c r="IP40" t="e">
        <f>AND(#REF!,"AAAAAF+Le/k=")</f>
        <v>#REF!</v>
      </c>
      <c r="IQ40" t="e">
        <f>AND(#REF!,"AAAAAF+Le/o=")</f>
        <v>#REF!</v>
      </c>
      <c r="IR40" t="e">
        <f>AND(#REF!,"AAAAAF+Le/s=")</f>
        <v>#REF!</v>
      </c>
      <c r="IS40" t="e">
        <f>AND(#REF!,"AAAAAF+Le/w=")</f>
        <v>#REF!</v>
      </c>
      <c r="IT40" t="e">
        <f>AND(#REF!,"AAAAAF+Le/0=")</f>
        <v>#REF!</v>
      </c>
      <c r="IU40" t="e">
        <f>AND(#REF!,"AAAAAF+Le/4=")</f>
        <v>#REF!</v>
      </c>
      <c r="IV40" t="e">
        <f>AND(#REF!,"AAAAAF+Le/8=")</f>
        <v>#REF!</v>
      </c>
    </row>
    <row r="41" spans="1:256" ht="15">
      <c r="A41" t="e">
        <f>AND(#REF!,"AAAAAH839wA=")</f>
        <v>#REF!</v>
      </c>
      <c r="B41" t="e">
        <f>AND(#REF!,"AAAAAH839wE=")</f>
        <v>#REF!</v>
      </c>
      <c r="C41" t="e">
        <f>AND(#REF!,"AAAAAH839wI=")</f>
        <v>#REF!</v>
      </c>
      <c r="D41" t="e">
        <f>AND(#REF!,"AAAAAH839wM=")</f>
        <v>#REF!</v>
      </c>
      <c r="E41" t="e">
        <f>AND(#REF!,"AAAAAH839wQ=")</f>
        <v>#REF!</v>
      </c>
      <c r="F41" t="e">
        <f>AND(#REF!,"AAAAAH839wU=")</f>
        <v>#REF!</v>
      </c>
      <c r="G41" t="e">
        <f>AND(#REF!,"AAAAAH839wY=")</f>
        <v>#REF!</v>
      </c>
      <c r="H41" t="e">
        <f>AND(#REF!,"AAAAAH839wc=")</f>
        <v>#REF!</v>
      </c>
      <c r="I41" t="e">
        <f>AND(#REF!,"AAAAAH839wg=")</f>
        <v>#REF!</v>
      </c>
      <c r="J41" t="e">
        <f>AND(#REF!,"AAAAAH839wk=")</f>
        <v>#REF!</v>
      </c>
      <c r="K41" t="e">
        <f>AND(#REF!,"AAAAAH839wo=")</f>
        <v>#REF!</v>
      </c>
      <c r="L41" t="e">
        <f>AND(#REF!,"AAAAAH839ws=")</f>
        <v>#REF!</v>
      </c>
      <c r="M41" t="e">
        <f>AND(#REF!,"AAAAAH839ww=")</f>
        <v>#REF!</v>
      </c>
      <c r="N41" t="e">
        <f>AND(#REF!,"AAAAAH839w0=")</f>
        <v>#REF!</v>
      </c>
      <c r="O41" t="e">
        <f>AND(#REF!,"AAAAAH839w4=")</f>
        <v>#REF!</v>
      </c>
      <c r="P41" t="e">
        <f>AND(#REF!,"AAAAAH839w8=")</f>
        <v>#REF!</v>
      </c>
      <c r="Q41" t="e">
        <f>AND(#REF!,"AAAAAH839xA=")</f>
        <v>#REF!</v>
      </c>
      <c r="R41" t="e">
        <f>AND(#REF!,"AAAAAH839xE=")</f>
        <v>#REF!</v>
      </c>
      <c r="S41" t="e">
        <f>AND(#REF!,"AAAAAH839xI=")</f>
        <v>#REF!</v>
      </c>
      <c r="T41" t="e">
        <f>AND(#REF!,"AAAAAH839xM=")</f>
        <v>#REF!</v>
      </c>
      <c r="U41" t="e">
        <f>AND(#REF!,"AAAAAH839xQ=")</f>
        <v>#REF!</v>
      </c>
      <c r="V41" t="e">
        <f>AND(#REF!,"AAAAAH839xU=")</f>
        <v>#REF!</v>
      </c>
      <c r="W41" t="e">
        <f>AND(#REF!,"AAAAAH839xY=")</f>
        <v>#REF!</v>
      </c>
      <c r="X41" t="e">
        <f>AND(#REF!,"AAAAAH839xc=")</f>
        <v>#REF!</v>
      </c>
      <c r="Y41" t="e">
        <f>AND(#REF!,"AAAAAH839xg=")</f>
        <v>#REF!</v>
      </c>
      <c r="Z41" t="e">
        <f>AND(#REF!,"AAAAAH839xk=")</f>
        <v>#REF!</v>
      </c>
      <c r="AA41" t="e">
        <f>AND(#REF!,"AAAAAH839xo=")</f>
        <v>#REF!</v>
      </c>
      <c r="AB41" t="e">
        <f>AND(#REF!,"AAAAAH839xs=")</f>
        <v>#REF!</v>
      </c>
      <c r="AC41" t="e">
        <f>AND(#REF!,"AAAAAH839xw=")</f>
        <v>#REF!</v>
      </c>
      <c r="AD41" t="e">
        <f>AND(#REF!,"AAAAAH839x0=")</f>
        <v>#REF!</v>
      </c>
      <c r="AE41" t="e">
        <f>AND(#REF!,"AAAAAH839x4=")</f>
        <v>#REF!</v>
      </c>
      <c r="AF41" t="e">
        <f>AND(#REF!,"AAAAAH839x8=")</f>
        <v>#REF!</v>
      </c>
      <c r="AG41" t="e">
        <f>AND(#REF!,"AAAAAH839yA=")</f>
        <v>#REF!</v>
      </c>
      <c r="AH41" t="e">
        <f>AND(#REF!,"AAAAAH839yE=")</f>
        <v>#REF!</v>
      </c>
      <c r="AI41" t="e">
        <f>AND(#REF!,"AAAAAH839yI=")</f>
        <v>#REF!</v>
      </c>
      <c r="AJ41" t="e">
        <f>AND(#REF!,"AAAAAH839yM=")</f>
        <v>#REF!</v>
      </c>
      <c r="AK41" t="e">
        <f>AND(#REF!,"AAAAAH839yQ=")</f>
        <v>#REF!</v>
      </c>
      <c r="AL41" t="e">
        <f>AND(#REF!,"AAAAAH839yU=")</f>
        <v>#REF!</v>
      </c>
      <c r="AM41" t="e">
        <f>AND(#REF!,"AAAAAH839yY=")</f>
        <v>#REF!</v>
      </c>
      <c r="AN41" t="e">
        <f>AND(#REF!,"AAAAAH839yc=")</f>
        <v>#REF!</v>
      </c>
      <c r="AO41" t="e">
        <f>AND(#REF!,"AAAAAH839yg=")</f>
        <v>#REF!</v>
      </c>
      <c r="AP41" t="e">
        <f>AND(#REF!,"AAAAAH839yk=")</f>
        <v>#REF!</v>
      </c>
      <c r="AQ41" t="e">
        <f>AND(#REF!,"AAAAAH839yo=")</f>
        <v>#REF!</v>
      </c>
      <c r="AR41" t="e">
        <f>AND(#REF!,"AAAAAH839ys=")</f>
        <v>#REF!</v>
      </c>
      <c r="AS41" t="e">
        <f>AND(#REF!,"AAAAAH839yw=")</f>
        <v>#REF!</v>
      </c>
      <c r="AT41" t="e">
        <f>AND(#REF!,"AAAAAH839y0=")</f>
        <v>#REF!</v>
      </c>
      <c r="AU41" t="e">
        <f>AND(#REF!,"AAAAAH839y4=")</f>
        <v>#REF!</v>
      </c>
      <c r="AV41" t="e">
        <f>AND(#REF!,"AAAAAH839y8=")</f>
        <v>#REF!</v>
      </c>
      <c r="AW41" t="e">
        <f>AND(#REF!,"AAAAAH839zA=")</f>
        <v>#REF!</v>
      </c>
      <c r="AX41" t="e">
        <f>AND(#REF!,"AAAAAH839zE=")</f>
        <v>#REF!</v>
      </c>
      <c r="AY41" t="e">
        <f>AND(#REF!,"AAAAAH839zI=")</f>
        <v>#REF!</v>
      </c>
      <c r="AZ41" t="e">
        <f>AND(#REF!,"AAAAAH839zM=")</f>
        <v>#REF!</v>
      </c>
      <c r="BA41" t="e">
        <f>AND(#REF!,"AAAAAH839zQ=")</f>
        <v>#REF!</v>
      </c>
      <c r="BB41" t="e">
        <f>AND(#REF!,"AAAAAH839zU=")</f>
        <v>#REF!</v>
      </c>
      <c r="BC41" t="e">
        <f>AND(#REF!,"AAAAAH839zY=")</f>
        <v>#REF!</v>
      </c>
      <c r="BD41" t="e">
        <f>AND(#REF!,"AAAAAH839zc=")</f>
        <v>#REF!</v>
      </c>
      <c r="BE41" t="e">
        <f>AND(#REF!,"AAAAAH839zg=")</f>
        <v>#REF!</v>
      </c>
      <c r="BF41" t="e">
        <f>AND(#REF!,"AAAAAH839zk=")</f>
        <v>#REF!</v>
      </c>
      <c r="BG41" t="e">
        <f>AND(#REF!,"AAAAAH839zo=")</f>
        <v>#REF!</v>
      </c>
      <c r="BH41" t="e">
        <f>AND(#REF!,"AAAAAH839zs=")</f>
        <v>#REF!</v>
      </c>
      <c r="BI41" t="e">
        <f>AND(#REF!,"AAAAAH839zw=")</f>
        <v>#REF!</v>
      </c>
      <c r="BJ41" t="e">
        <f>AND(#REF!,"AAAAAH839z0=")</f>
        <v>#REF!</v>
      </c>
      <c r="BK41" t="e">
        <f>AND(#REF!,"AAAAAH839z4=")</f>
        <v>#REF!</v>
      </c>
      <c r="BL41" t="e">
        <f>AND(#REF!,"AAAAAH839z8=")</f>
        <v>#REF!</v>
      </c>
      <c r="BM41" t="e">
        <f>AND(#REF!,"AAAAAH8390A=")</f>
        <v>#REF!</v>
      </c>
      <c r="BN41" t="e">
        <f>AND(#REF!,"AAAAAH8390E=")</f>
        <v>#REF!</v>
      </c>
      <c r="BO41" t="e">
        <f>AND(#REF!,"AAAAAH8390I=")</f>
        <v>#REF!</v>
      </c>
      <c r="BP41" t="e">
        <f>AND(#REF!,"AAAAAH8390M=")</f>
        <v>#REF!</v>
      </c>
      <c r="BQ41" t="e">
        <f>AND(#REF!,"AAAAAH8390Q=")</f>
        <v>#REF!</v>
      </c>
      <c r="BR41" t="e">
        <f>AND(#REF!,"AAAAAH8390U=")</f>
        <v>#REF!</v>
      </c>
      <c r="BS41" t="e">
        <f>AND(#REF!,"AAAAAH8390Y=")</f>
        <v>#REF!</v>
      </c>
      <c r="BT41" t="e">
        <f>AND(#REF!,"AAAAAH8390c=")</f>
        <v>#REF!</v>
      </c>
      <c r="BU41" t="e">
        <f>AND(#REF!,"AAAAAH8390g=")</f>
        <v>#REF!</v>
      </c>
      <c r="BV41" t="e">
        <f>AND(#REF!,"AAAAAH8390k=")</f>
        <v>#REF!</v>
      </c>
      <c r="BW41" t="e">
        <f>AND(#REF!,"AAAAAH8390o=")</f>
        <v>#REF!</v>
      </c>
      <c r="BX41" t="e">
        <f>AND(#REF!,"AAAAAH8390s=")</f>
        <v>#REF!</v>
      </c>
      <c r="BY41" t="e">
        <f>AND(#REF!,"AAAAAH8390w=")</f>
        <v>#REF!</v>
      </c>
      <c r="BZ41" t="e">
        <f>AND(#REF!,"AAAAAH83900=")</f>
        <v>#REF!</v>
      </c>
      <c r="CA41" t="e">
        <f>AND(#REF!,"AAAAAH83904=")</f>
        <v>#REF!</v>
      </c>
      <c r="CB41" t="e">
        <f>AND(#REF!,"AAAAAH83908=")</f>
        <v>#REF!</v>
      </c>
      <c r="CC41" t="e">
        <f>AND(#REF!,"AAAAAH8391A=")</f>
        <v>#REF!</v>
      </c>
      <c r="CD41" t="e">
        <f>AND(#REF!,"AAAAAH8391E=")</f>
        <v>#REF!</v>
      </c>
      <c r="CE41" t="e">
        <f>AND(#REF!,"AAAAAH8391I=")</f>
        <v>#REF!</v>
      </c>
      <c r="CF41" t="e">
        <f>AND(#REF!,"AAAAAH8391M=")</f>
        <v>#REF!</v>
      </c>
      <c r="CG41" t="e">
        <f>AND(#REF!,"AAAAAH8391Q=")</f>
        <v>#REF!</v>
      </c>
      <c r="CH41" t="e">
        <f>AND(#REF!,"AAAAAH8391U=")</f>
        <v>#REF!</v>
      </c>
      <c r="CI41" t="e">
        <f>AND(#REF!,"AAAAAH8391Y=")</f>
        <v>#REF!</v>
      </c>
      <c r="CJ41" t="e">
        <f>AND(#REF!,"AAAAAH8391c=")</f>
        <v>#REF!</v>
      </c>
      <c r="CK41" t="e">
        <f>AND(#REF!,"AAAAAH8391g=")</f>
        <v>#REF!</v>
      </c>
      <c r="CL41" t="e">
        <f>AND(#REF!,"AAAAAH8391k=")</f>
        <v>#REF!</v>
      </c>
      <c r="CM41" t="e">
        <f>AND(#REF!,"AAAAAH8391o=")</f>
        <v>#REF!</v>
      </c>
      <c r="CN41" t="e">
        <f>AND(#REF!,"AAAAAH8391s=")</f>
        <v>#REF!</v>
      </c>
      <c r="CO41" t="e">
        <f>AND(#REF!,"AAAAAH8391w=")</f>
        <v>#REF!</v>
      </c>
      <c r="CP41" t="e">
        <f>AND(#REF!,"AAAAAH83910=")</f>
        <v>#REF!</v>
      </c>
      <c r="CQ41" t="e">
        <f>AND(#REF!,"AAAAAH83914=")</f>
        <v>#REF!</v>
      </c>
      <c r="CR41" t="e">
        <f>IF(#REF!,"AAAAAH83918=",0)</f>
        <v>#REF!</v>
      </c>
      <c r="CS41" t="e">
        <f>AND(#REF!,"AAAAAH8392A=")</f>
        <v>#REF!</v>
      </c>
      <c r="CT41" t="e">
        <f>AND(#REF!,"AAAAAH8392E=")</f>
        <v>#REF!</v>
      </c>
      <c r="CU41" t="e">
        <f>AND(#REF!,"AAAAAH8392I=")</f>
        <v>#REF!</v>
      </c>
      <c r="CV41" t="e">
        <f>AND(#REF!,"AAAAAH8392M=")</f>
        <v>#REF!</v>
      </c>
      <c r="CW41" t="e">
        <f>AND(#REF!,"AAAAAH8392Q=")</f>
        <v>#REF!</v>
      </c>
      <c r="CX41" t="e">
        <f>AND(#REF!,"AAAAAH8392U=")</f>
        <v>#REF!</v>
      </c>
      <c r="CY41" t="e">
        <f>AND(#REF!,"AAAAAH8392Y=")</f>
        <v>#REF!</v>
      </c>
      <c r="CZ41" t="e">
        <f>AND(#REF!,"AAAAAH8392c=")</f>
        <v>#REF!</v>
      </c>
      <c r="DA41" t="e">
        <f>AND(#REF!,"AAAAAH8392g=")</f>
        <v>#REF!</v>
      </c>
      <c r="DB41" t="e">
        <f>AND(#REF!,"AAAAAH8392k=")</f>
        <v>#REF!</v>
      </c>
      <c r="DC41" t="e">
        <f>AND(#REF!,"AAAAAH8392o=")</f>
        <v>#REF!</v>
      </c>
      <c r="DD41" t="e">
        <f>AND(#REF!,"AAAAAH8392s=")</f>
        <v>#REF!</v>
      </c>
      <c r="DE41" t="e">
        <f>AND(#REF!,"AAAAAH8392w=")</f>
        <v>#REF!</v>
      </c>
      <c r="DF41" t="e">
        <f>AND(#REF!,"AAAAAH83920=")</f>
        <v>#REF!</v>
      </c>
      <c r="DG41" t="e">
        <f>AND(#REF!,"AAAAAH83924=")</f>
        <v>#REF!</v>
      </c>
      <c r="DH41" t="e">
        <f>AND(#REF!,"AAAAAH83928=")</f>
        <v>#REF!</v>
      </c>
      <c r="DI41" t="e">
        <f>AND(#REF!,"AAAAAH8393A=")</f>
        <v>#REF!</v>
      </c>
      <c r="DJ41" t="e">
        <f>AND(#REF!,"AAAAAH8393E=")</f>
        <v>#REF!</v>
      </c>
      <c r="DK41" t="e">
        <f>AND(#REF!,"AAAAAH8393I=")</f>
        <v>#REF!</v>
      </c>
      <c r="DL41" t="e">
        <f>AND(#REF!,"AAAAAH8393M=")</f>
        <v>#REF!</v>
      </c>
      <c r="DM41" t="e">
        <f>AND(#REF!,"AAAAAH8393Q=")</f>
        <v>#REF!</v>
      </c>
      <c r="DN41" t="e">
        <f>AND(#REF!,"AAAAAH8393U=")</f>
        <v>#REF!</v>
      </c>
      <c r="DO41" t="e">
        <f>AND(#REF!,"AAAAAH8393Y=")</f>
        <v>#REF!</v>
      </c>
      <c r="DP41" t="e">
        <f>AND(#REF!,"AAAAAH8393c=")</f>
        <v>#REF!</v>
      </c>
      <c r="DQ41" t="e">
        <f>AND(#REF!,"AAAAAH8393g=")</f>
        <v>#REF!</v>
      </c>
      <c r="DR41" t="e">
        <f>AND(#REF!,"AAAAAH8393k=")</f>
        <v>#REF!</v>
      </c>
      <c r="DS41" t="e">
        <f>AND(#REF!,"AAAAAH8393o=")</f>
        <v>#REF!</v>
      </c>
      <c r="DT41" t="e">
        <f>AND(#REF!,"AAAAAH8393s=")</f>
        <v>#REF!</v>
      </c>
      <c r="DU41" t="e">
        <f>AND(#REF!,"AAAAAH8393w=")</f>
        <v>#REF!</v>
      </c>
      <c r="DV41" t="e">
        <f>AND(#REF!,"AAAAAH83930=")</f>
        <v>#REF!</v>
      </c>
      <c r="DW41" t="e">
        <f>AND(#REF!,"AAAAAH83934=")</f>
        <v>#REF!</v>
      </c>
      <c r="DX41" t="e">
        <f>AND(#REF!,"AAAAAH83938=")</f>
        <v>#REF!</v>
      </c>
      <c r="DY41" t="e">
        <f>AND(#REF!,"AAAAAH8394A=")</f>
        <v>#REF!</v>
      </c>
      <c r="DZ41" t="e">
        <f>AND(#REF!,"AAAAAH8394E=")</f>
        <v>#REF!</v>
      </c>
      <c r="EA41" t="e">
        <f>AND(#REF!,"AAAAAH8394I=")</f>
        <v>#REF!</v>
      </c>
      <c r="EB41" t="e">
        <f>AND(#REF!,"AAAAAH8394M=")</f>
        <v>#REF!</v>
      </c>
      <c r="EC41" t="e">
        <f>AND(#REF!,"AAAAAH8394Q=")</f>
        <v>#REF!</v>
      </c>
      <c r="ED41" t="e">
        <f>AND(#REF!,"AAAAAH8394U=")</f>
        <v>#REF!</v>
      </c>
      <c r="EE41" t="e">
        <f>AND(#REF!,"AAAAAH8394Y=")</f>
        <v>#REF!</v>
      </c>
      <c r="EF41" t="e">
        <f>AND(#REF!,"AAAAAH8394c=")</f>
        <v>#REF!</v>
      </c>
      <c r="EG41" t="e">
        <f>AND(#REF!,"AAAAAH8394g=")</f>
        <v>#REF!</v>
      </c>
      <c r="EH41" t="e">
        <f>AND(#REF!,"AAAAAH8394k=")</f>
        <v>#REF!</v>
      </c>
      <c r="EI41" t="e">
        <f>AND(#REF!,"AAAAAH8394o=")</f>
        <v>#REF!</v>
      </c>
      <c r="EJ41" t="e">
        <f>AND(#REF!,"AAAAAH8394s=")</f>
        <v>#REF!</v>
      </c>
      <c r="EK41" t="e">
        <f>AND(#REF!,"AAAAAH8394w=")</f>
        <v>#REF!</v>
      </c>
      <c r="EL41" t="e">
        <f>AND(#REF!,"AAAAAH83940=")</f>
        <v>#REF!</v>
      </c>
      <c r="EM41" t="e">
        <f>AND(#REF!,"AAAAAH83944=")</f>
        <v>#REF!</v>
      </c>
      <c r="EN41" t="e">
        <f>AND(#REF!,"AAAAAH83948=")</f>
        <v>#REF!</v>
      </c>
      <c r="EO41" t="e">
        <f>AND(#REF!,"AAAAAH8395A=")</f>
        <v>#REF!</v>
      </c>
      <c r="EP41" t="e">
        <f>AND(#REF!,"AAAAAH8395E=")</f>
        <v>#REF!</v>
      </c>
      <c r="EQ41" t="e">
        <f>AND(#REF!,"AAAAAH8395I=")</f>
        <v>#REF!</v>
      </c>
      <c r="ER41" t="e">
        <f>AND(#REF!,"AAAAAH8395M=")</f>
        <v>#REF!</v>
      </c>
      <c r="ES41" t="e">
        <f>AND(#REF!,"AAAAAH8395Q=")</f>
        <v>#REF!</v>
      </c>
      <c r="ET41" t="e">
        <f>AND(#REF!,"AAAAAH8395U=")</f>
        <v>#REF!</v>
      </c>
      <c r="EU41" t="e">
        <f>AND(#REF!,"AAAAAH8395Y=")</f>
        <v>#REF!</v>
      </c>
      <c r="EV41" t="e">
        <f>AND(#REF!,"AAAAAH8395c=")</f>
        <v>#REF!</v>
      </c>
      <c r="EW41" t="e">
        <f>AND(#REF!,"AAAAAH8395g=")</f>
        <v>#REF!</v>
      </c>
      <c r="EX41" t="e">
        <f>AND(#REF!,"AAAAAH8395k=")</f>
        <v>#REF!</v>
      </c>
      <c r="EY41" t="e">
        <f>AND(#REF!,"AAAAAH8395o=")</f>
        <v>#REF!</v>
      </c>
      <c r="EZ41" t="e">
        <f>AND(#REF!,"AAAAAH8395s=")</f>
        <v>#REF!</v>
      </c>
      <c r="FA41" t="e">
        <f>AND(#REF!,"AAAAAH8395w=")</f>
        <v>#REF!</v>
      </c>
      <c r="FB41" t="e">
        <f>AND(#REF!,"AAAAAH83950=")</f>
        <v>#REF!</v>
      </c>
      <c r="FC41" t="e">
        <f>AND(#REF!,"AAAAAH83954=")</f>
        <v>#REF!</v>
      </c>
      <c r="FD41" t="e">
        <f>AND(#REF!,"AAAAAH83958=")</f>
        <v>#REF!</v>
      </c>
      <c r="FE41" t="e">
        <f>AND(#REF!,"AAAAAH8396A=")</f>
        <v>#REF!</v>
      </c>
      <c r="FF41" t="e">
        <f>AND(#REF!,"AAAAAH8396E=")</f>
        <v>#REF!</v>
      </c>
      <c r="FG41" t="e">
        <f>AND(#REF!,"AAAAAH8396I=")</f>
        <v>#REF!</v>
      </c>
      <c r="FH41" t="e">
        <f>AND(#REF!,"AAAAAH8396M=")</f>
        <v>#REF!</v>
      </c>
      <c r="FI41" t="e">
        <f>AND(#REF!,"AAAAAH8396Q=")</f>
        <v>#REF!</v>
      </c>
      <c r="FJ41" t="e">
        <f>AND(#REF!,"AAAAAH8396U=")</f>
        <v>#REF!</v>
      </c>
      <c r="FK41" t="e">
        <f>AND(#REF!,"AAAAAH8396Y=")</f>
        <v>#REF!</v>
      </c>
      <c r="FL41" t="e">
        <f>AND(#REF!,"AAAAAH8396c=")</f>
        <v>#REF!</v>
      </c>
      <c r="FM41" t="e">
        <f>AND(#REF!,"AAAAAH8396g=")</f>
        <v>#REF!</v>
      </c>
      <c r="FN41" t="e">
        <f>AND(#REF!,"AAAAAH8396k=")</f>
        <v>#REF!</v>
      </c>
      <c r="FO41" t="e">
        <f>AND(#REF!,"AAAAAH8396o=")</f>
        <v>#REF!</v>
      </c>
      <c r="FP41" t="e">
        <f>AND(#REF!,"AAAAAH8396s=")</f>
        <v>#REF!</v>
      </c>
      <c r="FQ41" t="e">
        <f>AND(#REF!,"AAAAAH8396w=")</f>
        <v>#REF!</v>
      </c>
      <c r="FR41" t="e">
        <f>AND(#REF!,"AAAAAH83960=")</f>
        <v>#REF!</v>
      </c>
      <c r="FS41" t="e">
        <f>AND(#REF!,"AAAAAH83964=")</f>
        <v>#REF!</v>
      </c>
      <c r="FT41" t="e">
        <f>AND(#REF!,"AAAAAH83968=")</f>
        <v>#REF!</v>
      </c>
      <c r="FU41" t="e">
        <f>AND(#REF!,"AAAAAH8397A=")</f>
        <v>#REF!</v>
      </c>
      <c r="FV41" t="e">
        <f>AND(#REF!,"AAAAAH8397E=")</f>
        <v>#REF!</v>
      </c>
      <c r="FW41" t="e">
        <f>AND(#REF!,"AAAAAH8397I=")</f>
        <v>#REF!</v>
      </c>
      <c r="FX41" t="e">
        <f>AND(#REF!,"AAAAAH8397M=")</f>
        <v>#REF!</v>
      </c>
      <c r="FY41" t="e">
        <f>AND(#REF!,"AAAAAH8397Q=")</f>
        <v>#REF!</v>
      </c>
      <c r="FZ41" t="e">
        <f>AND(#REF!,"AAAAAH8397U=")</f>
        <v>#REF!</v>
      </c>
      <c r="GA41" t="e">
        <f>AND(#REF!,"AAAAAH8397Y=")</f>
        <v>#REF!</v>
      </c>
      <c r="GB41" t="e">
        <f>AND(#REF!,"AAAAAH8397c=")</f>
        <v>#REF!</v>
      </c>
      <c r="GC41" t="e">
        <f>AND(#REF!,"AAAAAH8397g=")</f>
        <v>#REF!</v>
      </c>
      <c r="GD41" t="e">
        <f>AND(#REF!,"AAAAAH8397k=")</f>
        <v>#REF!</v>
      </c>
      <c r="GE41" t="e">
        <f>AND(#REF!,"AAAAAH8397o=")</f>
        <v>#REF!</v>
      </c>
      <c r="GF41" t="e">
        <f>AND(#REF!,"AAAAAH8397s=")</f>
        <v>#REF!</v>
      </c>
      <c r="GG41" t="e">
        <f>AND(#REF!,"AAAAAH8397w=")</f>
        <v>#REF!</v>
      </c>
      <c r="GH41" t="e">
        <f>AND(#REF!,"AAAAAH83970=")</f>
        <v>#REF!</v>
      </c>
      <c r="GI41" t="e">
        <f>AND(#REF!,"AAAAAH83974=")</f>
        <v>#REF!</v>
      </c>
      <c r="GJ41" t="e">
        <f>AND(#REF!,"AAAAAH83978=")</f>
        <v>#REF!</v>
      </c>
      <c r="GK41" t="e">
        <f>AND(#REF!,"AAAAAH8398A=")</f>
        <v>#REF!</v>
      </c>
      <c r="GL41" t="e">
        <f>AND(#REF!,"AAAAAH8398E=")</f>
        <v>#REF!</v>
      </c>
      <c r="GM41" t="e">
        <f>AND(#REF!,"AAAAAH8398I=")</f>
        <v>#REF!</v>
      </c>
      <c r="GN41" t="e">
        <f>AND(#REF!,"AAAAAH8398M=")</f>
        <v>#REF!</v>
      </c>
      <c r="GO41" t="e">
        <f>AND(#REF!,"AAAAAH8398Q=")</f>
        <v>#REF!</v>
      </c>
      <c r="GP41" t="e">
        <f>AND(#REF!,"AAAAAH8398U=")</f>
        <v>#REF!</v>
      </c>
      <c r="GQ41" t="e">
        <f>AND(#REF!,"AAAAAH8398Y=")</f>
        <v>#REF!</v>
      </c>
      <c r="GR41" t="e">
        <f>AND(#REF!,"AAAAAH8398c=")</f>
        <v>#REF!</v>
      </c>
      <c r="GS41" t="e">
        <f>AND(#REF!,"AAAAAH8398g=")</f>
        <v>#REF!</v>
      </c>
      <c r="GT41" t="e">
        <f>AND(#REF!,"AAAAAH8398k=")</f>
        <v>#REF!</v>
      </c>
      <c r="GU41" t="e">
        <f>AND(#REF!,"AAAAAH8398o=")</f>
        <v>#REF!</v>
      </c>
      <c r="GV41" t="e">
        <f>AND(#REF!,"AAAAAH8398s=")</f>
        <v>#REF!</v>
      </c>
      <c r="GW41" t="e">
        <f>AND(#REF!,"AAAAAH8398w=")</f>
        <v>#REF!</v>
      </c>
      <c r="GX41" t="e">
        <f>AND(#REF!,"AAAAAH83980=")</f>
        <v>#REF!</v>
      </c>
      <c r="GY41" t="e">
        <f>AND(#REF!,"AAAAAH83984=")</f>
        <v>#REF!</v>
      </c>
      <c r="GZ41" t="e">
        <f>AND(#REF!,"AAAAAH83988=")</f>
        <v>#REF!</v>
      </c>
      <c r="HA41" t="e">
        <f>AND(#REF!,"AAAAAH8399A=")</f>
        <v>#REF!</v>
      </c>
      <c r="HB41" t="e">
        <f>AND(#REF!,"AAAAAH8399E=")</f>
        <v>#REF!</v>
      </c>
      <c r="HC41" t="e">
        <f>AND(#REF!,"AAAAAH8399I=")</f>
        <v>#REF!</v>
      </c>
      <c r="HD41" t="e">
        <f>AND(#REF!,"AAAAAH8399M=")</f>
        <v>#REF!</v>
      </c>
      <c r="HE41" t="e">
        <f>AND(#REF!,"AAAAAH8399Q=")</f>
        <v>#REF!</v>
      </c>
      <c r="HF41" t="e">
        <f>AND(#REF!,"AAAAAH8399U=")</f>
        <v>#REF!</v>
      </c>
      <c r="HG41" t="e">
        <f>AND(#REF!,"AAAAAH8399Y=")</f>
        <v>#REF!</v>
      </c>
      <c r="HH41" t="e">
        <f>AND(#REF!,"AAAAAH8399c=")</f>
        <v>#REF!</v>
      </c>
      <c r="HI41" t="e">
        <f>AND(#REF!,"AAAAAH8399g=")</f>
        <v>#REF!</v>
      </c>
      <c r="HJ41" t="e">
        <f>AND(#REF!,"AAAAAH8399k=")</f>
        <v>#REF!</v>
      </c>
      <c r="HK41" t="e">
        <f>AND(#REF!,"AAAAAH8399o=")</f>
        <v>#REF!</v>
      </c>
      <c r="HL41" t="e">
        <f>AND(#REF!,"AAAAAH8399s=")</f>
        <v>#REF!</v>
      </c>
      <c r="HM41" t="e">
        <f>AND(#REF!,"AAAAAH8399w=")</f>
        <v>#REF!</v>
      </c>
      <c r="HN41" t="e">
        <f>AND(#REF!,"AAAAAH83990=")</f>
        <v>#REF!</v>
      </c>
      <c r="HO41" t="e">
        <f>AND(#REF!,"AAAAAH83994=")</f>
        <v>#REF!</v>
      </c>
      <c r="HP41" t="e">
        <f>AND(#REF!,"AAAAAH83998=")</f>
        <v>#REF!</v>
      </c>
      <c r="HQ41" t="e">
        <f>AND(#REF!,"AAAAAH839+A=")</f>
        <v>#REF!</v>
      </c>
      <c r="HR41" t="e">
        <f>AND(#REF!,"AAAAAH839+E=")</f>
        <v>#REF!</v>
      </c>
      <c r="HS41" t="e">
        <f>AND(#REF!,"AAAAAH839+I=")</f>
        <v>#REF!</v>
      </c>
      <c r="HT41" t="e">
        <f>AND(#REF!,"AAAAAH839+M=")</f>
        <v>#REF!</v>
      </c>
      <c r="HU41" t="e">
        <f>AND(#REF!,"AAAAAH839+Q=")</f>
        <v>#REF!</v>
      </c>
      <c r="HV41" t="e">
        <f>AND(#REF!,"AAAAAH839+U=")</f>
        <v>#REF!</v>
      </c>
      <c r="HW41" t="e">
        <f>AND(#REF!,"AAAAAH839+Y=")</f>
        <v>#REF!</v>
      </c>
      <c r="HX41" t="e">
        <f>IF(#REF!,"AAAAAH839+c=",0)</f>
        <v>#REF!</v>
      </c>
      <c r="HY41" t="e">
        <f>AND(#REF!,"AAAAAH839+g=")</f>
        <v>#REF!</v>
      </c>
      <c r="HZ41" t="e">
        <f>AND(#REF!,"AAAAAH839+k=")</f>
        <v>#REF!</v>
      </c>
      <c r="IA41" t="e">
        <f>AND(#REF!,"AAAAAH839+o=")</f>
        <v>#REF!</v>
      </c>
      <c r="IB41" t="e">
        <f>AND(#REF!,"AAAAAH839+s=")</f>
        <v>#REF!</v>
      </c>
      <c r="IC41" t="e">
        <f>AND(#REF!,"AAAAAH839+w=")</f>
        <v>#REF!</v>
      </c>
      <c r="ID41" t="e">
        <f>AND(#REF!,"AAAAAH839+0=")</f>
        <v>#REF!</v>
      </c>
      <c r="IE41" t="e">
        <f>AND(#REF!,"AAAAAH839+4=")</f>
        <v>#REF!</v>
      </c>
      <c r="IF41" t="e">
        <f>AND(#REF!,"AAAAAH839+8=")</f>
        <v>#REF!</v>
      </c>
      <c r="IG41" t="e">
        <f>AND(#REF!,"AAAAAH839/A=")</f>
        <v>#REF!</v>
      </c>
      <c r="IH41" t="e">
        <f>AND(#REF!,"AAAAAH839/E=")</f>
        <v>#REF!</v>
      </c>
      <c r="II41" t="e">
        <f>AND(#REF!,"AAAAAH839/I=")</f>
        <v>#REF!</v>
      </c>
      <c r="IJ41" t="e">
        <f>AND(#REF!,"AAAAAH839/M=")</f>
        <v>#REF!</v>
      </c>
      <c r="IK41" t="e">
        <f>AND(#REF!,"AAAAAH839/Q=")</f>
        <v>#REF!</v>
      </c>
      <c r="IL41" t="e">
        <f>AND(#REF!,"AAAAAH839/U=")</f>
        <v>#REF!</v>
      </c>
      <c r="IM41" t="e">
        <f>AND(#REF!,"AAAAAH839/Y=")</f>
        <v>#REF!</v>
      </c>
      <c r="IN41" t="e">
        <f>AND(#REF!,"AAAAAH839/c=")</f>
        <v>#REF!</v>
      </c>
      <c r="IO41" t="e">
        <f>AND(#REF!,"AAAAAH839/g=")</f>
        <v>#REF!</v>
      </c>
      <c r="IP41" t="e">
        <f>AND(#REF!,"AAAAAH839/k=")</f>
        <v>#REF!</v>
      </c>
      <c r="IQ41" t="e">
        <f>AND(#REF!,"AAAAAH839/o=")</f>
        <v>#REF!</v>
      </c>
      <c r="IR41" t="e">
        <f>AND(#REF!,"AAAAAH839/s=")</f>
        <v>#REF!</v>
      </c>
      <c r="IS41" t="e">
        <f>AND(#REF!,"AAAAAH839/w=")</f>
        <v>#REF!</v>
      </c>
      <c r="IT41" t="e">
        <f>AND(#REF!,"AAAAAH839/0=")</f>
        <v>#REF!</v>
      </c>
      <c r="IU41" t="e">
        <f>AND(#REF!,"AAAAAH839/4=")</f>
        <v>#REF!</v>
      </c>
      <c r="IV41" t="e">
        <f>AND(#REF!,"AAAAAH839/8=")</f>
        <v>#REF!</v>
      </c>
    </row>
    <row r="42" spans="1:256" ht="15">
      <c r="A42" t="e">
        <f>AND(#REF!,"AAAAAD2/zgA=")</f>
        <v>#REF!</v>
      </c>
      <c r="B42" t="e">
        <f>AND(#REF!,"AAAAAD2/zgE=")</f>
        <v>#REF!</v>
      </c>
      <c r="C42" t="e">
        <f>AND(#REF!,"AAAAAD2/zgI=")</f>
        <v>#REF!</v>
      </c>
      <c r="D42" t="e">
        <f>AND(#REF!,"AAAAAD2/zgM=")</f>
        <v>#REF!</v>
      </c>
      <c r="E42" t="e">
        <f>AND(#REF!,"AAAAAD2/zgQ=")</f>
        <v>#REF!</v>
      </c>
      <c r="F42" t="e">
        <f>AND(#REF!,"AAAAAD2/zgU=")</f>
        <v>#REF!</v>
      </c>
      <c r="G42" t="e">
        <f>AND(#REF!,"AAAAAD2/zgY=")</f>
        <v>#REF!</v>
      </c>
      <c r="H42" t="e">
        <f>AND(#REF!,"AAAAAD2/zgc=")</f>
        <v>#REF!</v>
      </c>
      <c r="I42" t="e">
        <f>AND(#REF!,"AAAAAD2/zgg=")</f>
        <v>#REF!</v>
      </c>
      <c r="J42" t="e">
        <f>AND(#REF!,"AAAAAD2/zgk=")</f>
        <v>#REF!</v>
      </c>
      <c r="K42" t="e">
        <f>AND(#REF!,"AAAAAD2/zgo=")</f>
        <v>#REF!</v>
      </c>
      <c r="L42" t="e">
        <f>AND(#REF!,"AAAAAD2/zgs=")</f>
        <v>#REF!</v>
      </c>
      <c r="M42" t="e">
        <f>AND(#REF!,"AAAAAD2/zgw=")</f>
        <v>#REF!</v>
      </c>
      <c r="N42" t="e">
        <f>AND(#REF!,"AAAAAD2/zg0=")</f>
        <v>#REF!</v>
      </c>
      <c r="O42" t="e">
        <f>AND(#REF!,"AAAAAD2/zg4=")</f>
        <v>#REF!</v>
      </c>
      <c r="P42" t="e">
        <f>AND(#REF!,"AAAAAD2/zg8=")</f>
        <v>#REF!</v>
      </c>
      <c r="Q42" t="e">
        <f>AND(#REF!,"AAAAAD2/zhA=")</f>
        <v>#REF!</v>
      </c>
      <c r="R42" t="e">
        <f>AND(#REF!,"AAAAAD2/zhE=")</f>
        <v>#REF!</v>
      </c>
      <c r="S42" t="e">
        <f>AND(#REF!,"AAAAAD2/zhI=")</f>
        <v>#REF!</v>
      </c>
      <c r="T42" t="e">
        <f>AND(#REF!,"AAAAAD2/zhM=")</f>
        <v>#REF!</v>
      </c>
      <c r="U42" t="e">
        <f>AND(#REF!,"AAAAAD2/zhQ=")</f>
        <v>#REF!</v>
      </c>
      <c r="V42" t="e">
        <f>AND(#REF!,"AAAAAD2/zhU=")</f>
        <v>#REF!</v>
      </c>
      <c r="W42" t="e">
        <f>AND(#REF!,"AAAAAD2/zhY=")</f>
        <v>#REF!</v>
      </c>
      <c r="X42" t="e">
        <f>AND(#REF!,"AAAAAD2/zhc=")</f>
        <v>#REF!</v>
      </c>
      <c r="Y42" t="e">
        <f>AND(#REF!,"AAAAAD2/zhg=")</f>
        <v>#REF!</v>
      </c>
      <c r="Z42" t="e">
        <f>AND(#REF!,"AAAAAD2/zhk=")</f>
        <v>#REF!</v>
      </c>
      <c r="AA42" t="e">
        <f>AND(#REF!,"AAAAAD2/zho=")</f>
        <v>#REF!</v>
      </c>
      <c r="AB42" t="e">
        <f>AND(#REF!,"AAAAAD2/zhs=")</f>
        <v>#REF!</v>
      </c>
      <c r="AC42" t="e">
        <f>AND(#REF!,"AAAAAD2/zhw=")</f>
        <v>#REF!</v>
      </c>
      <c r="AD42" t="e">
        <f>AND(#REF!,"AAAAAD2/zh0=")</f>
        <v>#REF!</v>
      </c>
      <c r="AE42" t="e">
        <f>AND(#REF!,"AAAAAD2/zh4=")</f>
        <v>#REF!</v>
      </c>
      <c r="AF42" t="e">
        <f>AND(#REF!,"AAAAAD2/zh8=")</f>
        <v>#REF!</v>
      </c>
      <c r="AG42" t="e">
        <f>AND(#REF!,"AAAAAD2/ziA=")</f>
        <v>#REF!</v>
      </c>
      <c r="AH42" t="e">
        <f>AND(#REF!,"AAAAAD2/ziE=")</f>
        <v>#REF!</v>
      </c>
      <c r="AI42" t="e">
        <f>AND(#REF!,"AAAAAD2/ziI=")</f>
        <v>#REF!</v>
      </c>
      <c r="AJ42" t="e">
        <f>AND(#REF!,"AAAAAD2/ziM=")</f>
        <v>#REF!</v>
      </c>
      <c r="AK42" t="e">
        <f>AND(#REF!,"AAAAAD2/ziQ=")</f>
        <v>#REF!</v>
      </c>
      <c r="AL42" t="e">
        <f>AND(#REF!,"AAAAAD2/ziU=")</f>
        <v>#REF!</v>
      </c>
      <c r="AM42" t="e">
        <f>AND(#REF!,"AAAAAD2/ziY=")</f>
        <v>#REF!</v>
      </c>
      <c r="AN42" t="e">
        <f>AND(#REF!,"AAAAAD2/zic=")</f>
        <v>#REF!</v>
      </c>
      <c r="AO42" t="e">
        <f>AND(#REF!,"AAAAAD2/zig=")</f>
        <v>#REF!</v>
      </c>
      <c r="AP42" t="e">
        <f>AND(#REF!,"AAAAAD2/zik=")</f>
        <v>#REF!</v>
      </c>
      <c r="AQ42" t="e">
        <f>AND(#REF!,"AAAAAD2/zio=")</f>
        <v>#REF!</v>
      </c>
      <c r="AR42" t="e">
        <f>AND(#REF!,"AAAAAD2/zis=")</f>
        <v>#REF!</v>
      </c>
      <c r="AS42" t="e">
        <f>AND(#REF!,"AAAAAD2/ziw=")</f>
        <v>#REF!</v>
      </c>
      <c r="AT42" t="e">
        <f>AND(#REF!,"AAAAAD2/zi0=")</f>
        <v>#REF!</v>
      </c>
      <c r="AU42" t="e">
        <f>AND(#REF!,"AAAAAD2/zi4=")</f>
        <v>#REF!</v>
      </c>
      <c r="AV42" t="e">
        <f>AND(#REF!,"AAAAAD2/zi8=")</f>
        <v>#REF!</v>
      </c>
      <c r="AW42" t="e">
        <f>AND(#REF!,"AAAAAD2/zjA=")</f>
        <v>#REF!</v>
      </c>
      <c r="AX42" t="e">
        <f>AND(#REF!,"AAAAAD2/zjE=")</f>
        <v>#REF!</v>
      </c>
      <c r="AY42" t="e">
        <f>AND(#REF!,"AAAAAD2/zjI=")</f>
        <v>#REF!</v>
      </c>
      <c r="AZ42" t="e">
        <f>AND(#REF!,"AAAAAD2/zjM=")</f>
        <v>#REF!</v>
      </c>
      <c r="BA42" t="e">
        <f>AND(#REF!,"AAAAAD2/zjQ=")</f>
        <v>#REF!</v>
      </c>
      <c r="BB42" t="e">
        <f>AND(#REF!,"AAAAAD2/zjU=")</f>
        <v>#REF!</v>
      </c>
      <c r="BC42" t="e">
        <f>AND(#REF!,"AAAAAD2/zjY=")</f>
        <v>#REF!</v>
      </c>
      <c r="BD42" t="e">
        <f>AND(#REF!,"AAAAAD2/zjc=")</f>
        <v>#REF!</v>
      </c>
      <c r="BE42" t="e">
        <f>AND(#REF!,"AAAAAD2/zjg=")</f>
        <v>#REF!</v>
      </c>
      <c r="BF42" t="e">
        <f>AND(#REF!,"AAAAAD2/zjk=")</f>
        <v>#REF!</v>
      </c>
      <c r="BG42" t="e">
        <f>AND(#REF!,"AAAAAD2/zjo=")</f>
        <v>#REF!</v>
      </c>
      <c r="BH42" t="e">
        <f>AND(#REF!,"AAAAAD2/zjs=")</f>
        <v>#REF!</v>
      </c>
      <c r="BI42" t="e">
        <f>AND(#REF!,"AAAAAD2/zjw=")</f>
        <v>#REF!</v>
      </c>
      <c r="BJ42" t="e">
        <f>AND(#REF!,"AAAAAD2/zj0=")</f>
        <v>#REF!</v>
      </c>
      <c r="BK42" t="e">
        <f>AND(#REF!,"AAAAAD2/zj4=")</f>
        <v>#REF!</v>
      </c>
      <c r="BL42" t="e">
        <f>AND(#REF!,"AAAAAD2/zj8=")</f>
        <v>#REF!</v>
      </c>
      <c r="BM42" t="e">
        <f>AND(#REF!,"AAAAAD2/zkA=")</f>
        <v>#REF!</v>
      </c>
      <c r="BN42" t="e">
        <f>AND(#REF!,"AAAAAD2/zkE=")</f>
        <v>#REF!</v>
      </c>
      <c r="BO42" t="e">
        <f>AND(#REF!,"AAAAAD2/zkI=")</f>
        <v>#REF!</v>
      </c>
      <c r="BP42" t="e">
        <f>AND(#REF!,"AAAAAD2/zkM=")</f>
        <v>#REF!</v>
      </c>
      <c r="BQ42" t="e">
        <f>AND(#REF!,"AAAAAD2/zkQ=")</f>
        <v>#REF!</v>
      </c>
      <c r="BR42" t="e">
        <f>AND(#REF!,"AAAAAD2/zkU=")</f>
        <v>#REF!</v>
      </c>
      <c r="BS42" t="e">
        <f>AND(#REF!,"AAAAAD2/zkY=")</f>
        <v>#REF!</v>
      </c>
      <c r="BT42" t="e">
        <f>AND(#REF!,"AAAAAD2/zkc=")</f>
        <v>#REF!</v>
      </c>
      <c r="BU42" t="e">
        <f>AND(#REF!,"AAAAAD2/zkg=")</f>
        <v>#REF!</v>
      </c>
      <c r="BV42" t="e">
        <f>AND(#REF!,"AAAAAD2/zkk=")</f>
        <v>#REF!</v>
      </c>
      <c r="BW42" t="e">
        <f>AND(#REF!,"AAAAAD2/zko=")</f>
        <v>#REF!</v>
      </c>
      <c r="BX42" t="e">
        <f>AND(#REF!,"AAAAAD2/zks=")</f>
        <v>#REF!</v>
      </c>
      <c r="BY42" t="e">
        <f>AND(#REF!,"AAAAAD2/zkw=")</f>
        <v>#REF!</v>
      </c>
      <c r="BZ42" t="e">
        <f>AND(#REF!,"AAAAAD2/zk0=")</f>
        <v>#REF!</v>
      </c>
      <c r="CA42" t="e">
        <f>AND(#REF!,"AAAAAD2/zk4=")</f>
        <v>#REF!</v>
      </c>
      <c r="CB42" t="e">
        <f>AND(#REF!,"AAAAAD2/zk8=")</f>
        <v>#REF!</v>
      </c>
      <c r="CC42" t="e">
        <f>AND(#REF!,"AAAAAD2/zlA=")</f>
        <v>#REF!</v>
      </c>
      <c r="CD42" t="e">
        <f>AND(#REF!,"AAAAAD2/zlE=")</f>
        <v>#REF!</v>
      </c>
      <c r="CE42" t="e">
        <f>AND(#REF!,"AAAAAD2/zlI=")</f>
        <v>#REF!</v>
      </c>
      <c r="CF42" t="e">
        <f>AND(#REF!,"AAAAAD2/zlM=")</f>
        <v>#REF!</v>
      </c>
      <c r="CG42" t="e">
        <f>AND(#REF!,"AAAAAD2/zlQ=")</f>
        <v>#REF!</v>
      </c>
      <c r="CH42" t="e">
        <f>AND(#REF!,"AAAAAD2/zlU=")</f>
        <v>#REF!</v>
      </c>
      <c r="CI42" t="e">
        <f>AND(#REF!,"AAAAAD2/zlY=")</f>
        <v>#REF!</v>
      </c>
      <c r="CJ42" t="e">
        <f>AND(#REF!,"AAAAAD2/zlc=")</f>
        <v>#REF!</v>
      </c>
      <c r="CK42" t="e">
        <f>AND(#REF!,"AAAAAD2/zlg=")</f>
        <v>#REF!</v>
      </c>
      <c r="CL42" t="e">
        <f>AND(#REF!,"AAAAAD2/zlk=")</f>
        <v>#REF!</v>
      </c>
      <c r="CM42" t="e">
        <f>AND(#REF!,"AAAAAD2/zlo=")</f>
        <v>#REF!</v>
      </c>
      <c r="CN42" t="e">
        <f>AND(#REF!,"AAAAAD2/zls=")</f>
        <v>#REF!</v>
      </c>
      <c r="CO42" t="e">
        <f>AND(#REF!,"AAAAAD2/zlw=")</f>
        <v>#REF!</v>
      </c>
      <c r="CP42" t="e">
        <f>AND(#REF!,"AAAAAD2/zl0=")</f>
        <v>#REF!</v>
      </c>
      <c r="CQ42" t="e">
        <f>AND(#REF!,"AAAAAD2/zl4=")</f>
        <v>#REF!</v>
      </c>
      <c r="CR42" t="e">
        <f>AND(#REF!,"AAAAAD2/zl8=")</f>
        <v>#REF!</v>
      </c>
      <c r="CS42" t="e">
        <f>AND(#REF!,"AAAAAD2/zmA=")</f>
        <v>#REF!</v>
      </c>
      <c r="CT42" t="e">
        <f>AND(#REF!,"AAAAAD2/zmE=")</f>
        <v>#REF!</v>
      </c>
      <c r="CU42" t="e">
        <f>AND(#REF!,"AAAAAD2/zmI=")</f>
        <v>#REF!</v>
      </c>
      <c r="CV42" t="e">
        <f>AND(#REF!,"AAAAAD2/zmM=")</f>
        <v>#REF!</v>
      </c>
      <c r="CW42" t="e">
        <f>AND(#REF!,"AAAAAD2/zmQ=")</f>
        <v>#REF!</v>
      </c>
      <c r="CX42" t="e">
        <f>AND(#REF!,"AAAAAD2/zmU=")</f>
        <v>#REF!</v>
      </c>
      <c r="CY42" t="e">
        <f>AND(#REF!,"AAAAAD2/zmY=")</f>
        <v>#REF!</v>
      </c>
      <c r="CZ42" t="e">
        <f>AND(#REF!,"AAAAAD2/zmc=")</f>
        <v>#REF!</v>
      </c>
      <c r="DA42" t="e">
        <f>AND(#REF!,"AAAAAD2/zmg=")</f>
        <v>#REF!</v>
      </c>
      <c r="DB42" t="e">
        <f>AND(#REF!,"AAAAAD2/zmk=")</f>
        <v>#REF!</v>
      </c>
      <c r="DC42" t="e">
        <f>AND(#REF!,"AAAAAD2/zmo=")</f>
        <v>#REF!</v>
      </c>
      <c r="DD42" t="e">
        <f>AND(#REF!,"AAAAAD2/zms=")</f>
        <v>#REF!</v>
      </c>
      <c r="DE42" t="e">
        <f>AND(#REF!,"AAAAAD2/zmw=")</f>
        <v>#REF!</v>
      </c>
      <c r="DF42" t="e">
        <f>AND(#REF!,"AAAAAD2/zm0=")</f>
        <v>#REF!</v>
      </c>
      <c r="DG42" t="e">
        <f>AND(#REF!,"AAAAAD2/zm4=")</f>
        <v>#REF!</v>
      </c>
      <c r="DH42" t="e">
        <f>IF(#REF!,"AAAAAD2/zm8=",0)</f>
        <v>#REF!</v>
      </c>
      <c r="DI42" t="e">
        <f>AND(#REF!,"AAAAAD2/znA=")</f>
        <v>#REF!</v>
      </c>
      <c r="DJ42" t="e">
        <f>AND(#REF!,"AAAAAD2/znE=")</f>
        <v>#REF!</v>
      </c>
      <c r="DK42" t="e">
        <f>AND(#REF!,"AAAAAD2/znI=")</f>
        <v>#REF!</v>
      </c>
      <c r="DL42" t="e">
        <f>AND(#REF!,"AAAAAD2/znM=")</f>
        <v>#REF!</v>
      </c>
      <c r="DM42" t="e">
        <f>AND(#REF!,"AAAAAD2/znQ=")</f>
        <v>#REF!</v>
      </c>
      <c r="DN42" t="e">
        <f>AND(#REF!,"AAAAAD2/znU=")</f>
        <v>#REF!</v>
      </c>
      <c r="DO42" t="e">
        <f>AND(#REF!,"AAAAAD2/znY=")</f>
        <v>#REF!</v>
      </c>
      <c r="DP42" t="e">
        <f>AND(#REF!,"AAAAAD2/znc=")</f>
        <v>#REF!</v>
      </c>
      <c r="DQ42" t="e">
        <f>AND(#REF!,"AAAAAD2/zng=")</f>
        <v>#REF!</v>
      </c>
      <c r="DR42" t="e">
        <f>AND(#REF!,"AAAAAD2/znk=")</f>
        <v>#REF!</v>
      </c>
      <c r="DS42" t="e">
        <f>AND(#REF!,"AAAAAD2/zno=")</f>
        <v>#REF!</v>
      </c>
      <c r="DT42" t="e">
        <f>AND(#REF!,"AAAAAD2/zns=")</f>
        <v>#REF!</v>
      </c>
      <c r="DU42" t="e">
        <f>AND(#REF!,"AAAAAD2/znw=")</f>
        <v>#REF!</v>
      </c>
      <c r="DV42" t="e">
        <f>AND(#REF!,"AAAAAD2/zn0=")</f>
        <v>#REF!</v>
      </c>
      <c r="DW42" t="e">
        <f>AND(#REF!,"AAAAAD2/zn4=")</f>
        <v>#REF!</v>
      </c>
      <c r="DX42" t="e">
        <f>AND(#REF!,"AAAAAD2/zn8=")</f>
        <v>#REF!</v>
      </c>
      <c r="DY42" t="e">
        <f>AND(#REF!,"AAAAAD2/zoA=")</f>
        <v>#REF!</v>
      </c>
      <c r="DZ42" t="e">
        <f>AND(#REF!,"AAAAAD2/zoE=")</f>
        <v>#REF!</v>
      </c>
      <c r="EA42" t="e">
        <f>AND(#REF!,"AAAAAD2/zoI=")</f>
        <v>#REF!</v>
      </c>
      <c r="EB42" t="e">
        <f>AND(#REF!,"AAAAAD2/zoM=")</f>
        <v>#REF!</v>
      </c>
      <c r="EC42" t="e">
        <f>AND(#REF!,"AAAAAD2/zoQ=")</f>
        <v>#REF!</v>
      </c>
      <c r="ED42" t="e">
        <f>AND(#REF!,"AAAAAD2/zoU=")</f>
        <v>#REF!</v>
      </c>
      <c r="EE42" t="e">
        <f>AND(#REF!,"AAAAAD2/zoY=")</f>
        <v>#REF!</v>
      </c>
      <c r="EF42" t="e">
        <f>AND(#REF!,"AAAAAD2/zoc=")</f>
        <v>#REF!</v>
      </c>
      <c r="EG42" t="e">
        <f>AND(#REF!,"AAAAAD2/zog=")</f>
        <v>#REF!</v>
      </c>
      <c r="EH42" t="e">
        <f>AND(#REF!,"AAAAAD2/zok=")</f>
        <v>#REF!</v>
      </c>
      <c r="EI42" t="e">
        <f>AND(#REF!,"AAAAAD2/zoo=")</f>
        <v>#REF!</v>
      </c>
      <c r="EJ42" t="e">
        <f>AND(#REF!,"AAAAAD2/zos=")</f>
        <v>#REF!</v>
      </c>
      <c r="EK42" t="e">
        <f>AND(#REF!,"AAAAAD2/zow=")</f>
        <v>#REF!</v>
      </c>
      <c r="EL42" t="e">
        <f>AND(#REF!,"AAAAAD2/zo0=")</f>
        <v>#REF!</v>
      </c>
      <c r="EM42" t="e">
        <f>AND(#REF!,"AAAAAD2/zo4=")</f>
        <v>#REF!</v>
      </c>
      <c r="EN42" t="e">
        <f>AND(#REF!,"AAAAAD2/zo8=")</f>
        <v>#REF!</v>
      </c>
      <c r="EO42" t="e">
        <f>AND(#REF!,"AAAAAD2/zpA=")</f>
        <v>#REF!</v>
      </c>
      <c r="EP42" t="e">
        <f>AND(#REF!,"AAAAAD2/zpE=")</f>
        <v>#REF!</v>
      </c>
      <c r="EQ42" t="e">
        <f>AND(#REF!,"AAAAAD2/zpI=")</f>
        <v>#REF!</v>
      </c>
      <c r="ER42" t="e">
        <f>AND(#REF!,"AAAAAD2/zpM=")</f>
        <v>#REF!</v>
      </c>
      <c r="ES42" t="e">
        <f>AND(#REF!,"AAAAAD2/zpQ=")</f>
        <v>#REF!</v>
      </c>
      <c r="ET42" t="e">
        <f>AND(#REF!,"AAAAAD2/zpU=")</f>
        <v>#REF!</v>
      </c>
      <c r="EU42" t="e">
        <f>AND(#REF!,"AAAAAD2/zpY=")</f>
        <v>#REF!</v>
      </c>
      <c r="EV42" t="e">
        <f>AND(#REF!,"AAAAAD2/zpc=")</f>
        <v>#REF!</v>
      </c>
      <c r="EW42" t="e">
        <f>AND(#REF!,"AAAAAD2/zpg=")</f>
        <v>#REF!</v>
      </c>
      <c r="EX42" t="e">
        <f>AND(#REF!,"AAAAAD2/zpk=")</f>
        <v>#REF!</v>
      </c>
      <c r="EY42" t="e">
        <f>AND(#REF!,"AAAAAD2/zpo=")</f>
        <v>#REF!</v>
      </c>
      <c r="EZ42" t="e">
        <f>AND(#REF!,"AAAAAD2/zps=")</f>
        <v>#REF!</v>
      </c>
      <c r="FA42" t="e">
        <f>AND(#REF!,"AAAAAD2/zpw=")</f>
        <v>#REF!</v>
      </c>
      <c r="FB42" t="e">
        <f>AND(#REF!,"AAAAAD2/zp0=")</f>
        <v>#REF!</v>
      </c>
      <c r="FC42" t="e">
        <f>AND(#REF!,"AAAAAD2/zp4=")</f>
        <v>#REF!</v>
      </c>
      <c r="FD42" t="e">
        <f>AND(#REF!,"AAAAAD2/zp8=")</f>
        <v>#REF!</v>
      </c>
      <c r="FE42" t="e">
        <f>AND(#REF!,"AAAAAD2/zqA=")</f>
        <v>#REF!</v>
      </c>
      <c r="FF42" t="e">
        <f>AND(#REF!,"AAAAAD2/zqE=")</f>
        <v>#REF!</v>
      </c>
      <c r="FG42" t="e">
        <f>AND(#REF!,"AAAAAD2/zqI=")</f>
        <v>#REF!</v>
      </c>
      <c r="FH42" t="e">
        <f>AND(#REF!,"AAAAAD2/zqM=")</f>
        <v>#REF!</v>
      </c>
      <c r="FI42" t="e">
        <f>AND(#REF!,"AAAAAD2/zqQ=")</f>
        <v>#REF!</v>
      </c>
      <c r="FJ42" t="e">
        <f>AND(#REF!,"AAAAAD2/zqU=")</f>
        <v>#REF!</v>
      </c>
      <c r="FK42" t="e">
        <f>AND(#REF!,"AAAAAD2/zqY=")</f>
        <v>#REF!</v>
      </c>
      <c r="FL42" t="e">
        <f>AND(#REF!,"AAAAAD2/zqc=")</f>
        <v>#REF!</v>
      </c>
      <c r="FM42" t="e">
        <f>AND(#REF!,"AAAAAD2/zqg=")</f>
        <v>#REF!</v>
      </c>
      <c r="FN42" t="e">
        <f>AND(#REF!,"AAAAAD2/zqk=")</f>
        <v>#REF!</v>
      </c>
      <c r="FO42" t="e">
        <f>AND(#REF!,"AAAAAD2/zqo=")</f>
        <v>#REF!</v>
      </c>
      <c r="FP42" t="e">
        <f>AND(#REF!,"AAAAAD2/zqs=")</f>
        <v>#REF!</v>
      </c>
      <c r="FQ42" t="e">
        <f>AND(#REF!,"AAAAAD2/zqw=")</f>
        <v>#REF!</v>
      </c>
      <c r="FR42" t="e">
        <f>AND(#REF!,"AAAAAD2/zq0=")</f>
        <v>#REF!</v>
      </c>
      <c r="FS42" t="e">
        <f>AND(#REF!,"AAAAAD2/zq4=")</f>
        <v>#REF!</v>
      </c>
      <c r="FT42" t="e">
        <f>AND(#REF!,"AAAAAD2/zq8=")</f>
        <v>#REF!</v>
      </c>
      <c r="FU42" t="e">
        <f>AND(#REF!,"AAAAAD2/zrA=")</f>
        <v>#REF!</v>
      </c>
      <c r="FV42" t="e">
        <f>AND(#REF!,"AAAAAD2/zrE=")</f>
        <v>#REF!</v>
      </c>
      <c r="FW42" t="e">
        <f>AND(#REF!,"AAAAAD2/zrI=")</f>
        <v>#REF!</v>
      </c>
      <c r="FX42" t="e">
        <f>AND(#REF!,"AAAAAD2/zrM=")</f>
        <v>#REF!</v>
      </c>
      <c r="FY42" t="e">
        <f>AND(#REF!,"AAAAAD2/zrQ=")</f>
        <v>#REF!</v>
      </c>
      <c r="FZ42" t="e">
        <f>AND(#REF!,"AAAAAD2/zrU=")</f>
        <v>#REF!</v>
      </c>
      <c r="GA42" t="e">
        <f>AND(#REF!,"AAAAAD2/zrY=")</f>
        <v>#REF!</v>
      </c>
      <c r="GB42" t="e">
        <f>AND(#REF!,"AAAAAD2/zrc=")</f>
        <v>#REF!</v>
      </c>
      <c r="GC42" t="e">
        <f>AND(#REF!,"AAAAAD2/zrg=")</f>
        <v>#REF!</v>
      </c>
      <c r="GD42" t="e">
        <f>AND(#REF!,"AAAAAD2/zrk=")</f>
        <v>#REF!</v>
      </c>
      <c r="GE42" t="e">
        <f>AND(#REF!,"AAAAAD2/zro=")</f>
        <v>#REF!</v>
      </c>
      <c r="GF42" t="e">
        <f>AND(#REF!,"AAAAAD2/zrs=")</f>
        <v>#REF!</v>
      </c>
      <c r="GG42" t="e">
        <f>AND(#REF!,"AAAAAD2/zrw=")</f>
        <v>#REF!</v>
      </c>
      <c r="GH42" t="e">
        <f>AND(#REF!,"AAAAAD2/zr0=")</f>
        <v>#REF!</v>
      </c>
      <c r="GI42" t="e">
        <f>AND(#REF!,"AAAAAD2/zr4=")</f>
        <v>#REF!</v>
      </c>
      <c r="GJ42" t="e">
        <f>AND(#REF!,"AAAAAD2/zr8=")</f>
        <v>#REF!</v>
      </c>
      <c r="GK42" t="e">
        <f>AND(#REF!,"AAAAAD2/zsA=")</f>
        <v>#REF!</v>
      </c>
      <c r="GL42" t="e">
        <f>AND(#REF!,"AAAAAD2/zsE=")</f>
        <v>#REF!</v>
      </c>
      <c r="GM42" t="e">
        <f>AND(#REF!,"AAAAAD2/zsI=")</f>
        <v>#REF!</v>
      </c>
      <c r="GN42" t="e">
        <f>AND(#REF!,"AAAAAD2/zsM=")</f>
        <v>#REF!</v>
      </c>
      <c r="GO42" t="e">
        <f>AND(#REF!,"AAAAAD2/zsQ=")</f>
        <v>#REF!</v>
      </c>
      <c r="GP42" t="e">
        <f>AND(#REF!,"AAAAAD2/zsU=")</f>
        <v>#REF!</v>
      </c>
      <c r="GQ42" t="e">
        <f>AND(#REF!,"AAAAAD2/zsY=")</f>
        <v>#REF!</v>
      </c>
      <c r="GR42" t="e">
        <f>AND(#REF!,"AAAAAD2/zsc=")</f>
        <v>#REF!</v>
      </c>
      <c r="GS42" t="e">
        <f>AND(#REF!,"AAAAAD2/zsg=")</f>
        <v>#REF!</v>
      </c>
      <c r="GT42" t="e">
        <f>AND(#REF!,"AAAAAD2/zsk=")</f>
        <v>#REF!</v>
      </c>
      <c r="GU42" t="e">
        <f>AND(#REF!,"AAAAAD2/zso=")</f>
        <v>#REF!</v>
      </c>
      <c r="GV42" t="e">
        <f>AND(#REF!,"AAAAAD2/zss=")</f>
        <v>#REF!</v>
      </c>
      <c r="GW42" t="e">
        <f>AND(#REF!,"AAAAAD2/zsw=")</f>
        <v>#REF!</v>
      </c>
      <c r="GX42" t="e">
        <f>AND(#REF!,"AAAAAD2/zs0=")</f>
        <v>#REF!</v>
      </c>
      <c r="GY42" t="e">
        <f>AND(#REF!,"AAAAAD2/zs4=")</f>
        <v>#REF!</v>
      </c>
      <c r="GZ42" t="e">
        <f>AND(#REF!,"AAAAAD2/zs8=")</f>
        <v>#REF!</v>
      </c>
      <c r="HA42" t="e">
        <f>AND(#REF!,"AAAAAD2/ztA=")</f>
        <v>#REF!</v>
      </c>
      <c r="HB42" t="e">
        <f>AND(#REF!,"AAAAAD2/ztE=")</f>
        <v>#REF!</v>
      </c>
      <c r="HC42" t="e">
        <f>AND(#REF!,"AAAAAD2/ztI=")</f>
        <v>#REF!</v>
      </c>
      <c r="HD42" t="e">
        <f>AND(#REF!,"AAAAAD2/ztM=")</f>
        <v>#REF!</v>
      </c>
      <c r="HE42" t="e">
        <f>AND(#REF!,"AAAAAD2/ztQ=")</f>
        <v>#REF!</v>
      </c>
      <c r="HF42" t="e">
        <f>AND(#REF!,"AAAAAD2/ztU=")</f>
        <v>#REF!</v>
      </c>
      <c r="HG42" t="e">
        <f>AND(#REF!,"AAAAAD2/ztY=")</f>
        <v>#REF!</v>
      </c>
      <c r="HH42" t="e">
        <f>AND(#REF!,"AAAAAD2/ztc=")</f>
        <v>#REF!</v>
      </c>
      <c r="HI42" t="e">
        <f>AND(#REF!,"AAAAAD2/ztg=")</f>
        <v>#REF!</v>
      </c>
      <c r="HJ42" t="e">
        <f>AND(#REF!,"AAAAAD2/ztk=")</f>
        <v>#REF!</v>
      </c>
      <c r="HK42" t="e">
        <f>AND(#REF!,"AAAAAD2/zto=")</f>
        <v>#REF!</v>
      </c>
      <c r="HL42" t="e">
        <f>AND(#REF!,"AAAAAD2/zts=")</f>
        <v>#REF!</v>
      </c>
      <c r="HM42" t="e">
        <f>AND(#REF!,"AAAAAD2/ztw=")</f>
        <v>#REF!</v>
      </c>
      <c r="HN42" t="e">
        <f>AND(#REF!,"AAAAAD2/zt0=")</f>
        <v>#REF!</v>
      </c>
      <c r="HO42" t="e">
        <f>AND(#REF!,"AAAAAD2/zt4=")</f>
        <v>#REF!</v>
      </c>
      <c r="HP42" t="e">
        <f>AND(#REF!,"AAAAAD2/zt8=")</f>
        <v>#REF!</v>
      </c>
      <c r="HQ42" t="e">
        <f>AND(#REF!,"AAAAAD2/zuA=")</f>
        <v>#REF!</v>
      </c>
      <c r="HR42" t="e">
        <f>AND(#REF!,"AAAAAD2/zuE=")</f>
        <v>#REF!</v>
      </c>
      <c r="HS42" t="e">
        <f>AND(#REF!,"AAAAAD2/zuI=")</f>
        <v>#REF!</v>
      </c>
      <c r="HT42" t="e">
        <f>AND(#REF!,"AAAAAD2/zuM=")</f>
        <v>#REF!</v>
      </c>
      <c r="HU42" t="e">
        <f>AND(#REF!,"AAAAAD2/zuQ=")</f>
        <v>#REF!</v>
      </c>
      <c r="HV42" t="e">
        <f>AND(#REF!,"AAAAAD2/zuU=")</f>
        <v>#REF!</v>
      </c>
      <c r="HW42" t="e">
        <f>AND(#REF!,"AAAAAD2/zuY=")</f>
        <v>#REF!</v>
      </c>
      <c r="HX42" t="e">
        <f>AND(#REF!,"AAAAAD2/zuc=")</f>
        <v>#REF!</v>
      </c>
      <c r="HY42" t="e">
        <f>AND(#REF!,"AAAAAD2/zug=")</f>
        <v>#REF!</v>
      </c>
      <c r="HZ42" t="e">
        <f>AND(#REF!,"AAAAAD2/zuk=")</f>
        <v>#REF!</v>
      </c>
      <c r="IA42" t="e">
        <f>AND(#REF!,"AAAAAD2/zuo=")</f>
        <v>#REF!</v>
      </c>
      <c r="IB42" t="e">
        <f>AND(#REF!,"AAAAAD2/zus=")</f>
        <v>#REF!</v>
      </c>
      <c r="IC42" t="e">
        <f>AND(#REF!,"AAAAAD2/zuw=")</f>
        <v>#REF!</v>
      </c>
      <c r="ID42" t="e">
        <f>AND(#REF!,"AAAAAD2/zu0=")</f>
        <v>#REF!</v>
      </c>
      <c r="IE42" t="e">
        <f>AND(#REF!,"AAAAAD2/zu4=")</f>
        <v>#REF!</v>
      </c>
      <c r="IF42" t="e">
        <f>AND(#REF!,"AAAAAD2/zu8=")</f>
        <v>#REF!</v>
      </c>
      <c r="IG42" t="e">
        <f>AND(#REF!,"AAAAAD2/zvA=")</f>
        <v>#REF!</v>
      </c>
      <c r="IH42" t="e">
        <f>AND(#REF!,"AAAAAD2/zvE=")</f>
        <v>#REF!</v>
      </c>
      <c r="II42" t="e">
        <f>AND(#REF!,"AAAAAD2/zvI=")</f>
        <v>#REF!</v>
      </c>
      <c r="IJ42" t="e">
        <f>AND(#REF!,"AAAAAD2/zvM=")</f>
        <v>#REF!</v>
      </c>
      <c r="IK42" t="e">
        <f>AND(#REF!,"AAAAAD2/zvQ=")</f>
        <v>#REF!</v>
      </c>
      <c r="IL42" t="e">
        <f>AND(#REF!,"AAAAAD2/zvU=")</f>
        <v>#REF!</v>
      </c>
      <c r="IM42" t="e">
        <f>AND(#REF!,"AAAAAD2/zvY=")</f>
        <v>#REF!</v>
      </c>
      <c r="IN42" t="e">
        <f>IF(#REF!,"AAAAAD2/zvc=",0)</f>
        <v>#REF!</v>
      </c>
      <c r="IO42" t="e">
        <f>AND(#REF!,"AAAAAD2/zvg=")</f>
        <v>#REF!</v>
      </c>
      <c r="IP42" t="e">
        <f>AND(#REF!,"AAAAAD2/zvk=")</f>
        <v>#REF!</v>
      </c>
      <c r="IQ42" t="e">
        <f>AND(#REF!,"AAAAAD2/zvo=")</f>
        <v>#REF!</v>
      </c>
      <c r="IR42" t="e">
        <f>AND(#REF!,"AAAAAD2/zvs=")</f>
        <v>#REF!</v>
      </c>
      <c r="IS42" t="e">
        <f>AND(#REF!,"AAAAAD2/zvw=")</f>
        <v>#REF!</v>
      </c>
      <c r="IT42" t="e">
        <f>AND(#REF!,"AAAAAD2/zv0=")</f>
        <v>#REF!</v>
      </c>
      <c r="IU42" t="e">
        <f>AND(#REF!,"AAAAAD2/zv4=")</f>
        <v>#REF!</v>
      </c>
      <c r="IV42" t="e">
        <f>AND(#REF!,"AAAAAD2/zv8=")</f>
        <v>#REF!</v>
      </c>
    </row>
    <row r="43" spans="1:256" ht="15">
      <c r="A43" t="e">
        <f>AND(#REF!,"AAAAAF+d7QA=")</f>
        <v>#REF!</v>
      </c>
      <c r="B43" t="e">
        <f>AND(#REF!,"AAAAAF+d7QE=")</f>
        <v>#REF!</v>
      </c>
      <c r="C43" t="e">
        <f>AND(#REF!,"AAAAAF+d7QI=")</f>
        <v>#REF!</v>
      </c>
      <c r="D43" t="e">
        <f>AND(#REF!,"AAAAAF+d7QM=")</f>
        <v>#REF!</v>
      </c>
      <c r="E43" t="e">
        <f>AND(#REF!,"AAAAAF+d7QQ=")</f>
        <v>#REF!</v>
      </c>
      <c r="F43" t="e">
        <f>AND(#REF!,"AAAAAF+d7QU=")</f>
        <v>#REF!</v>
      </c>
      <c r="G43" t="e">
        <f>AND(#REF!,"AAAAAF+d7QY=")</f>
        <v>#REF!</v>
      </c>
      <c r="H43" t="e">
        <f>AND(#REF!,"AAAAAF+d7Qc=")</f>
        <v>#REF!</v>
      </c>
      <c r="I43" t="e">
        <f>AND(#REF!,"AAAAAF+d7Qg=")</f>
        <v>#REF!</v>
      </c>
      <c r="J43" t="e">
        <f>AND(#REF!,"AAAAAF+d7Qk=")</f>
        <v>#REF!</v>
      </c>
      <c r="K43" t="e">
        <f>AND(#REF!,"AAAAAF+d7Qo=")</f>
        <v>#REF!</v>
      </c>
      <c r="L43" t="e">
        <f>AND(#REF!,"AAAAAF+d7Qs=")</f>
        <v>#REF!</v>
      </c>
      <c r="M43" t="e">
        <f>AND(#REF!,"AAAAAF+d7Qw=")</f>
        <v>#REF!</v>
      </c>
      <c r="N43" t="e">
        <f>AND(#REF!,"AAAAAF+d7Q0=")</f>
        <v>#REF!</v>
      </c>
      <c r="O43" t="e">
        <f>AND(#REF!,"AAAAAF+d7Q4=")</f>
        <v>#REF!</v>
      </c>
      <c r="P43" t="e">
        <f>AND(#REF!,"AAAAAF+d7Q8=")</f>
        <v>#REF!</v>
      </c>
      <c r="Q43" t="e">
        <f>AND(#REF!,"AAAAAF+d7RA=")</f>
        <v>#REF!</v>
      </c>
      <c r="R43" t="e">
        <f>AND(#REF!,"AAAAAF+d7RE=")</f>
        <v>#REF!</v>
      </c>
      <c r="S43" t="e">
        <f>AND(#REF!,"AAAAAF+d7RI=")</f>
        <v>#REF!</v>
      </c>
      <c r="T43" t="e">
        <f>AND(#REF!,"AAAAAF+d7RM=")</f>
        <v>#REF!</v>
      </c>
      <c r="U43" t="e">
        <f>AND(#REF!,"AAAAAF+d7RQ=")</f>
        <v>#REF!</v>
      </c>
      <c r="V43" t="e">
        <f>AND(#REF!,"AAAAAF+d7RU=")</f>
        <v>#REF!</v>
      </c>
      <c r="W43" t="e">
        <f>AND(#REF!,"AAAAAF+d7RY=")</f>
        <v>#REF!</v>
      </c>
      <c r="X43" t="e">
        <f>AND(#REF!,"AAAAAF+d7Rc=")</f>
        <v>#REF!</v>
      </c>
      <c r="Y43" t="e">
        <f>AND(#REF!,"AAAAAF+d7Rg=")</f>
        <v>#REF!</v>
      </c>
      <c r="Z43" t="e">
        <f>AND(#REF!,"AAAAAF+d7Rk=")</f>
        <v>#REF!</v>
      </c>
      <c r="AA43" t="e">
        <f>AND(#REF!,"AAAAAF+d7Ro=")</f>
        <v>#REF!</v>
      </c>
      <c r="AB43" t="e">
        <f>AND(#REF!,"AAAAAF+d7Rs=")</f>
        <v>#REF!</v>
      </c>
      <c r="AC43" t="e">
        <f>AND(#REF!,"AAAAAF+d7Rw=")</f>
        <v>#REF!</v>
      </c>
      <c r="AD43" t="e">
        <f>AND(#REF!,"AAAAAF+d7R0=")</f>
        <v>#REF!</v>
      </c>
      <c r="AE43" t="e">
        <f>AND(#REF!,"AAAAAF+d7R4=")</f>
        <v>#REF!</v>
      </c>
      <c r="AF43" t="e">
        <f>AND(#REF!,"AAAAAF+d7R8=")</f>
        <v>#REF!</v>
      </c>
      <c r="AG43" t="e">
        <f>AND(#REF!,"AAAAAF+d7SA=")</f>
        <v>#REF!</v>
      </c>
      <c r="AH43" t="e">
        <f>AND(#REF!,"AAAAAF+d7SE=")</f>
        <v>#REF!</v>
      </c>
      <c r="AI43" t="e">
        <f>AND(#REF!,"AAAAAF+d7SI=")</f>
        <v>#REF!</v>
      </c>
      <c r="AJ43" t="e">
        <f>AND(#REF!,"AAAAAF+d7SM=")</f>
        <v>#REF!</v>
      </c>
      <c r="AK43" t="e">
        <f>AND(#REF!,"AAAAAF+d7SQ=")</f>
        <v>#REF!</v>
      </c>
      <c r="AL43" t="e">
        <f>AND(#REF!,"AAAAAF+d7SU=")</f>
        <v>#REF!</v>
      </c>
      <c r="AM43" t="e">
        <f>AND(#REF!,"AAAAAF+d7SY=")</f>
        <v>#REF!</v>
      </c>
      <c r="AN43" t="e">
        <f>AND(#REF!,"AAAAAF+d7Sc=")</f>
        <v>#REF!</v>
      </c>
      <c r="AO43" t="e">
        <f>AND(#REF!,"AAAAAF+d7Sg=")</f>
        <v>#REF!</v>
      </c>
      <c r="AP43" t="e">
        <f>AND(#REF!,"AAAAAF+d7Sk=")</f>
        <v>#REF!</v>
      </c>
      <c r="AQ43" t="e">
        <f>AND(#REF!,"AAAAAF+d7So=")</f>
        <v>#REF!</v>
      </c>
      <c r="AR43" t="e">
        <f>AND(#REF!,"AAAAAF+d7Ss=")</f>
        <v>#REF!</v>
      </c>
      <c r="AS43" t="e">
        <f>AND(#REF!,"AAAAAF+d7Sw=")</f>
        <v>#REF!</v>
      </c>
      <c r="AT43" t="e">
        <f>AND(#REF!,"AAAAAF+d7S0=")</f>
        <v>#REF!</v>
      </c>
      <c r="AU43" t="e">
        <f>AND(#REF!,"AAAAAF+d7S4=")</f>
        <v>#REF!</v>
      </c>
      <c r="AV43" t="e">
        <f>AND(#REF!,"AAAAAF+d7S8=")</f>
        <v>#REF!</v>
      </c>
      <c r="AW43" t="e">
        <f>AND(#REF!,"AAAAAF+d7TA=")</f>
        <v>#REF!</v>
      </c>
      <c r="AX43" t="e">
        <f>AND(#REF!,"AAAAAF+d7TE=")</f>
        <v>#REF!</v>
      </c>
      <c r="AY43" t="e">
        <f>AND(#REF!,"AAAAAF+d7TI=")</f>
        <v>#REF!</v>
      </c>
      <c r="AZ43" t="e">
        <f>AND(#REF!,"AAAAAF+d7TM=")</f>
        <v>#REF!</v>
      </c>
      <c r="BA43" t="e">
        <f>AND(#REF!,"AAAAAF+d7TQ=")</f>
        <v>#REF!</v>
      </c>
      <c r="BB43" t="e">
        <f>AND(#REF!,"AAAAAF+d7TU=")</f>
        <v>#REF!</v>
      </c>
      <c r="BC43" t="e">
        <f>AND(#REF!,"AAAAAF+d7TY=")</f>
        <v>#REF!</v>
      </c>
      <c r="BD43" t="e">
        <f>AND(#REF!,"AAAAAF+d7Tc=")</f>
        <v>#REF!</v>
      </c>
      <c r="BE43" t="e">
        <f>AND(#REF!,"AAAAAF+d7Tg=")</f>
        <v>#REF!</v>
      </c>
      <c r="BF43" t="e">
        <f>AND(#REF!,"AAAAAF+d7Tk=")</f>
        <v>#REF!</v>
      </c>
      <c r="BG43" t="e">
        <f>AND(#REF!,"AAAAAF+d7To=")</f>
        <v>#REF!</v>
      </c>
      <c r="BH43" t="e">
        <f>AND(#REF!,"AAAAAF+d7Ts=")</f>
        <v>#REF!</v>
      </c>
      <c r="BI43" t="e">
        <f>AND(#REF!,"AAAAAF+d7Tw=")</f>
        <v>#REF!</v>
      </c>
      <c r="BJ43" t="e">
        <f>AND(#REF!,"AAAAAF+d7T0=")</f>
        <v>#REF!</v>
      </c>
      <c r="BK43" t="e">
        <f>AND(#REF!,"AAAAAF+d7T4=")</f>
        <v>#REF!</v>
      </c>
      <c r="BL43" t="e">
        <f>AND(#REF!,"AAAAAF+d7T8=")</f>
        <v>#REF!</v>
      </c>
      <c r="BM43" t="e">
        <f>AND(#REF!,"AAAAAF+d7UA=")</f>
        <v>#REF!</v>
      </c>
      <c r="BN43" t="e">
        <f>AND(#REF!,"AAAAAF+d7UE=")</f>
        <v>#REF!</v>
      </c>
      <c r="BO43" t="e">
        <f>AND(#REF!,"AAAAAF+d7UI=")</f>
        <v>#REF!</v>
      </c>
      <c r="BP43" t="e">
        <f>AND(#REF!,"AAAAAF+d7UM=")</f>
        <v>#REF!</v>
      </c>
      <c r="BQ43" t="e">
        <f>AND(#REF!,"AAAAAF+d7UQ=")</f>
        <v>#REF!</v>
      </c>
      <c r="BR43" t="e">
        <f>AND(#REF!,"AAAAAF+d7UU=")</f>
        <v>#REF!</v>
      </c>
      <c r="BS43" t="e">
        <f>AND(#REF!,"AAAAAF+d7UY=")</f>
        <v>#REF!</v>
      </c>
      <c r="BT43" t="e">
        <f>AND(#REF!,"AAAAAF+d7Uc=")</f>
        <v>#REF!</v>
      </c>
      <c r="BU43" t="e">
        <f>AND(#REF!,"AAAAAF+d7Ug=")</f>
        <v>#REF!</v>
      </c>
      <c r="BV43" t="e">
        <f>AND(#REF!,"AAAAAF+d7Uk=")</f>
        <v>#REF!</v>
      </c>
      <c r="BW43" t="e">
        <f>AND(#REF!,"AAAAAF+d7Uo=")</f>
        <v>#REF!</v>
      </c>
      <c r="BX43" t="e">
        <f>AND(#REF!,"AAAAAF+d7Us=")</f>
        <v>#REF!</v>
      </c>
      <c r="BY43" t="e">
        <f>AND(#REF!,"AAAAAF+d7Uw=")</f>
        <v>#REF!</v>
      </c>
      <c r="BZ43" t="e">
        <f>AND(#REF!,"AAAAAF+d7U0=")</f>
        <v>#REF!</v>
      </c>
      <c r="CA43" t="e">
        <f>AND(#REF!,"AAAAAF+d7U4=")</f>
        <v>#REF!</v>
      </c>
      <c r="CB43" t="e">
        <f>AND(#REF!,"AAAAAF+d7U8=")</f>
        <v>#REF!</v>
      </c>
      <c r="CC43" t="e">
        <f>AND(#REF!,"AAAAAF+d7VA=")</f>
        <v>#REF!</v>
      </c>
      <c r="CD43" t="e">
        <f>AND(#REF!,"AAAAAF+d7VE=")</f>
        <v>#REF!</v>
      </c>
      <c r="CE43" t="e">
        <f>AND(#REF!,"AAAAAF+d7VI=")</f>
        <v>#REF!</v>
      </c>
      <c r="CF43" t="e">
        <f>AND(#REF!,"AAAAAF+d7VM=")</f>
        <v>#REF!</v>
      </c>
      <c r="CG43" t="e">
        <f>AND(#REF!,"AAAAAF+d7VQ=")</f>
        <v>#REF!</v>
      </c>
      <c r="CH43" t="e">
        <f>AND(#REF!,"AAAAAF+d7VU=")</f>
        <v>#REF!</v>
      </c>
      <c r="CI43" t="e">
        <f>AND(#REF!,"AAAAAF+d7VY=")</f>
        <v>#REF!</v>
      </c>
      <c r="CJ43" t="e">
        <f>AND(#REF!,"AAAAAF+d7Vc=")</f>
        <v>#REF!</v>
      </c>
      <c r="CK43" t="e">
        <f>AND(#REF!,"AAAAAF+d7Vg=")</f>
        <v>#REF!</v>
      </c>
      <c r="CL43" t="e">
        <f>AND(#REF!,"AAAAAF+d7Vk=")</f>
        <v>#REF!</v>
      </c>
      <c r="CM43" t="e">
        <f>AND(#REF!,"AAAAAF+d7Vo=")</f>
        <v>#REF!</v>
      </c>
      <c r="CN43" t="e">
        <f>AND(#REF!,"AAAAAF+d7Vs=")</f>
        <v>#REF!</v>
      </c>
      <c r="CO43" t="e">
        <f>AND(#REF!,"AAAAAF+d7Vw=")</f>
        <v>#REF!</v>
      </c>
      <c r="CP43" t="e">
        <f>AND(#REF!,"AAAAAF+d7V0=")</f>
        <v>#REF!</v>
      </c>
      <c r="CQ43" t="e">
        <f>AND(#REF!,"AAAAAF+d7V4=")</f>
        <v>#REF!</v>
      </c>
      <c r="CR43" t="e">
        <f>AND(#REF!,"AAAAAF+d7V8=")</f>
        <v>#REF!</v>
      </c>
      <c r="CS43" t="e">
        <f>AND(#REF!,"AAAAAF+d7WA=")</f>
        <v>#REF!</v>
      </c>
      <c r="CT43" t="e">
        <f>AND(#REF!,"AAAAAF+d7WE=")</f>
        <v>#REF!</v>
      </c>
      <c r="CU43" t="e">
        <f>AND(#REF!,"AAAAAF+d7WI=")</f>
        <v>#REF!</v>
      </c>
      <c r="CV43" t="e">
        <f>AND(#REF!,"AAAAAF+d7WM=")</f>
        <v>#REF!</v>
      </c>
      <c r="CW43" t="e">
        <f>AND(#REF!,"AAAAAF+d7WQ=")</f>
        <v>#REF!</v>
      </c>
      <c r="CX43" t="e">
        <f>AND(#REF!,"AAAAAF+d7WU=")</f>
        <v>#REF!</v>
      </c>
      <c r="CY43" t="e">
        <f>AND(#REF!,"AAAAAF+d7WY=")</f>
        <v>#REF!</v>
      </c>
      <c r="CZ43" t="e">
        <f>AND(#REF!,"AAAAAF+d7Wc=")</f>
        <v>#REF!</v>
      </c>
      <c r="DA43" t="e">
        <f>AND(#REF!,"AAAAAF+d7Wg=")</f>
        <v>#REF!</v>
      </c>
      <c r="DB43" t="e">
        <f>AND(#REF!,"AAAAAF+d7Wk=")</f>
        <v>#REF!</v>
      </c>
      <c r="DC43" t="e">
        <f>AND(#REF!,"AAAAAF+d7Wo=")</f>
        <v>#REF!</v>
      </c>
      <c r="DD43" t="e">
        <f>AND(#REF!,"AAAAAF+d7Ws=")</f>
        <v>#REF!</v>
      </c>
      <c r="DE43" t="e">
        <f>AND(#REF!,"AAAAAF+d7Ww=")</f>
        <v>#REF!</v>
      </c>
      <c r="DF43" t="e">
        <f>AND(#REF!,"AAAAAF+d7W0=")</f>
        <v>#REF!</v>
      </c>
      <c r="DG43" t="e">
        <f>AND(#REF!,"AAAAAF+d7W4=")</f>
        <v>#REF!</v>
      </c>
      <c r="DH43" t="e">
        <f>AND(#REF!,"AAAAAF+d7W8=")</f>
        <v>#REF!</v>
      </c>
      <c r="DI43" t="e">
        <f>AND(#REF!,"AAAAAF+d7XA=")</f>
        <v>#REF!</v>
      </c>
      <c r="DJ43" t="e">
        <f>AND(#REF!,"AAAAAF+d7XE=")</f>
        <v>#REF!</v>
      </c>
      <c r="DK43" t="e">
        <f>AND(#REF!,"AAAAAF+d7XI=")</f>
        <v>#REF!</v>
      </c>
      <c r="DL43" t="e">
        <f>AND(#REF!,"AAAAAF+d7XM=")</f>
        <v>#REF!</v>
      </c>
      <c r="DM43" t="e">
        <f>AND(#REF!,"AAAAAF+d7XQ=")</f>
        <v>#REF!</v>
      </c>
      <c r="DN43" t="e">
        <f>AND(#REF!,"AAAAAF+d7XU=")</f>
        <v>#REF!</v>
      </c>
      <c r="DO43" t="e">
        <f>AND(#REF!,"AAAAAF+d7XY=")</f>
        <v>#REF!</v>
      </c>
      <c r="DP43" t="e">
        <f>AND(#REF!,"AAAAAF+d7Xc=")</f>
        <v>#REF!</v>
      </c>
      <c r="DQ43" t="e">
        <f>AND(#REF!,"AAAAAF+d7Xg=")</f>
        <v>#REF!</v>
      </c>
      <c r="DR43" t="e">
        <f>AND(#REF!,"AAAAAF+d7Xk=")</f>
        <v>#REF!</v>
      </c>
      <c r="DS43" t="e">
        <f>AND(#REF!,"AAAAAF+d7Xo=")</f>
        <v>#REF!</v>
      </c>
      <c r="DT43" t="e">
        <f>AND(#REF!,"AAAAAF+d7Xs=")</f>
        <v>#REF!</v>
      </c>
      <c r="DU43" t="e">
        <f>AND(#REF!,"AAAAAF+d7Xw=")</f>
        <v>#REF!</v>
      </c>
      <c r="DV43" t="e">
        <f>AND(#REF!,"AAAAAF+d7X0=")</f>
        <v>#REF!</v>
      </c>
      <c r="DW43" t="e">
        <f>AND(#REF!,"AAAAAF+d7X4=")</f>
        <v>#REF!</v>
      </c>
      <c r="DX43" t="e">
        <f>IF(#REF!,"AAAAAF+d7X8=",0)</f>
        <v>#REF!</v>
      </c>
      <c r="DY43" t="e">
        <f>AND(#REF!,"AAAAAF+d7YA=")</f>
        <v>#REF!</v>
      </c>
      <c r="DZ43" t="e">
        <f>AND(#REF!,"AAAAAF+d7YE=")</f>
        <v>#REF!</v>
      </c>
      <c r="EA43" t="e">
        <f>AND(#REF!,"AAAAAF+d7YI=")</f>
        <v>#REF!</v>
      </c>
      <c r="EB43" t="e">
        <f>AND(#REF!,"AAAAAF+d7YM=")</f>
        <v>#REF!</v>
      </c>
      <c r="EC43" t="e">
        <f>AND(#REF!,"AAAAAF+d7YQ=")</f>
        <v>#REF!</v>
      </c>
      <c r="ED43" t="e">
        <f>AND(#REF!,"AAAAAF+d7YU=")</f>
        <v>#REF!</v>
      </c>
      <c r="EE43" t="e">
        <f>AND(#REF!,"AAAAAF+d7YY=")</f>
        <v>#REF!</v>
      </c>
      <c r="EF43" t="e">
        <f>AND(#REF!,"AAAAAF+d7Yc=")</f>
        <v>#REF!</v>
      </c>
      <c r="EG43" t="e">
        <f>AND(#REF!,"AAAAAF+d7Yg=")</f>
        <v>#REF!</v>
      </c>
      <c r="EH43" t="e">
        <f>AND(#REF!,"AAAAAF+d7Yk=")</f>
        <v>#REF!</v>
      </c>
      <c r="EI43" t="e">
        <f>AND(#REF!,"AAAAAF+d7Yo=")</f>
        <v>#REF!</v>
      </c>
      <c r="EJ43" t="e">
        <f>AND(#REF!,"AAAAAF+d7Ys=")</f>
        <v>#REF!</v>
      </c>
      <c r="EK43" t="e">
        <f>AND(#REF!,"AAAAAF+d7Yw=")</f>
        <v>#REF!</v>
      </c>
      <c r="EL43" t="e">
        <f>AND(#REF!,"AAAAAF+d7Y0=")</f>
        <v>#REF!</v>
      </c>
      <c r="EM43" t="e">
        <f>AND(#REF!,"AAAAAF+d7Y4=")</f>
        <v>#REF!</v>
      </c>
      <c r="EN43" t="e">
        <f>AND(#REF!,"AAAAAF+d7Y8=")</f>
        <v>#REF!</v>
      </c>
      <c r="EO43" t="e">
        <f>AND(#REF!,"AAAAAF+d7ZA=")</f>
        <v>#REF!</v>
      </c>
      <c r="EP43" t="e">
        <f>AND(#REF!,"AAAAAF+d7ZE=")</f>
        <v>#REF!</v>
      </c>
      <c r="EQ43" t="e">
        <f>AND(#REF!,"AAAAAF+d7ZI=")</f>
        <v>#REF!</v>
      </c>
      <c r="ER43" t="e">
        <f>AND(#REF!,"AAAAAF+d7ZM=")</f>
        <v>#REF!</v>
      </c>
      <c r="ES43" t="e">
        <f>AND(#REF!,"AAAAAF+d7ZQ=")</f>
        <v>#REF!</v>
      </c>
      <c r="ET43" t="e">
        <f>AND(#REF!,"AAAAAF+d7ZU=")</f>
        <v>#REF!</v>
      </c>
      <c r="EU43" t="e">
        <f>AND(#REF!,"AAAAAF+d7ZY=")</f>
        <v>#REF!</v>
      </c>
      <c r="EV43" t="e">
        <f>AND(#REF!,"AAAAAF+d7Zc=")</f>
        <v>#REF!</v>
      </c>
      <c r="EW43" t="e">
        <f>AND(#REF!,"AAAAAF+d7Zg=")</f>
        <v>#REF!</v>
      </c>
      <c r="EX43" t="e">
        <f>AND(#REF!,"AAAAAF+d7Zk=")</f>
        <v>#REF!</v>
      </c>
      <c r="EY43" t="e">
        <f>AND(#REF!,"AAAAAF+d7Zo=")</f>
        <v>#REF!</v>
      </c>
      <c r="EZ43" t="e">
        <f>AND(#REF!,"AAAAAF+d7Zs=")</f>
        <v>#REF!</v>
      </c>
      <c r="FA43" t="e">
        <f>AND(#REF!,"AAAAAF+d7Zw=")</f>
        <v>#REF!</v>
      </c>
      <c r="FB43" t="e">
        <f>AND(#REF!,"AAAAAF+d7Z0=")</f>
        <v>#REF!</v>
      </c>
      <c r="FC43" t="e">
        <f>AND(#REF!,"AAAAAF+d7Z4=")</f>
        <v>#REF!</v>
      </c>
      <c r="FD43" t="e">
        <f>AND(#REF!,"AAAAAF+d7Z8=")</f>
        <v>#REF!</v>
      </c>
      <c r="FE43" t="e">
        <f>AND(#REF!,"AAAAAF+d7aA=")</f>
        <v>#REF!</v>
      </c>
      <c r="FF43" t="e">
        <f>AND(#REF!,"AAAAAF+d7aE=")</f>
        <v>#REF!</v>
      </c>
      <c r="FG43" t="e">
        <f>AND(#REF!,"AAAAAF+d7aI=")</f>
        <v>#REF!</v>
      </c>
      <c r="FH43" t="e">
        <f>AND(#REF!,"AAAAAF+d7aM=")</f>
        <v>#REF!</v>
      </c>
      <c r="FI43" t="e">
        <f>AND(#REF!,"AAAAAF+d7aQ=")</f>
        <v>#REF!</v>
      </c>
      <c r="FJ43" t="e">
        <f>AND(#REF!,"AAAAAF+d7aU=")</f>
        <v>#REF!</v>
      </c>
      <c r="FK43" t="e">
        <f>AND(#REF!,"AAAAAF+d7aY=")</f>
        <v>#REF!</v>
      </c>
      <c r="FL43" t="e">
        <f>AND(#REF!,"AAAAAF+d7ac=")</f>
        <v>#REF!</v>
      </c>
      <c r="FM43" t="e">
        <f>AND(#REF!,"AAAAAF+d7ag=")</f>
        <v>#REF!</v>
      </c>
      <c r="FN43" t="e">
        <f>AND(#REF!,"AAAAAF+d7ak=")</f>
        <v>#REF!</v>
      </c>
      <c r="FO43" t="e">
        <f>AND(#REF!,"AAAAAF+d7ao=")</f>
        <v>#REF!</v>
      </c>
      <c r="FP43" t="e">
        <f>AND(#REF!,"AAAAAF+d7as=")</f>
        <v>#REF!</v>
      </c>
      <c r="FQ43" t="e">
        <f>AND(#REF!,"AAAAAF+d7aw=")</f>
        <v>#REF!</v>
      </c>
      <c r="FR43" t="e">
        <f>AND(#REF!,"AAAAAF+d7a0=")</f>
        <v>#REF!</v>
      </c>
      <c r="FS43" t="e">
        <f>AND(#REF!,"AAAAAF+d7a4=")</f>
        <v>#REF!</v>
      </c>
      <c r="FT43" t="e">
        <f>AND(#REF!,"AAAAAF+d7a8=")</f>
        <v>#REF!</v>
      </c>
      <c r="FU43" t="e">
        <f>AND(#REF!,"AAAAAF+d7bA=")</f>
        <v>#REF!</v>
      </c>
      <c r="FV43" t="e">
        <f>AND(#REF!,"AAAAAF+d7bE=")</f>
        <v>#REF!</v>
      </c>
      <c r="FW43" t="e">
        <f>AND(#REF!,"AAAAAF+d7bI=")</f>
        <v>#REF!</v>
      </c>
      <c r="FX43" t="e">
        <f>AND(#REF!,"AAAAAF+d7bM=")</f>
        <v>#REF!</v>
      </c>
      <c r="FY43" t="e">
        <f>AND(#REF!,"AAAAAF+d7bQ=")</f>
        <v>#REF!</v>
      </c>
      <c r="FZ43" t="e">
        <f>AND(#REF!,"AAAAAF+d7bU=")</f>
        <v>#REF!</v>
      </c>
      <c r="GA43" t="e">
        <f>AND(#REF!,"AAAAAF+d7bY=")</f>
        <v>#REF!</v>
      </c>
      <c r="GB43" t="e">
        <f>AND(#REF!,"AAAAAF+d7bc=")</f>
        <v>#REF!</v>
      </c>
      <c r="GC43" t="e">
        <f>AND(#REF!,"AAAAAF+d7bg=")</f>
        <v>#REF!</v>
      </c>
      <c r="GD43" t="e">
        <f>AND(#REF!,"AAAAAF+d7bk=")</f>
        <v>#REF!</v>
      </c>
      <c r="GE43" t="e">
        <f>AND(#REF!,"AAAAAF+d7bo=")</f>
        <v>#REF!</v>
      </c>
      <c r="GF43" t="e">
        <f>AND(#REF!,"AAAAAF+d7bs=")</f>
        <v>#REF!</v>
      </c>
      <c r="GG43" t="e">
        <f>AND(#REF!,"AAAAAF+d7bw=")</f>
        <v>#REF!</v>
      </c>
      <c r="GH43" t="e">
        <f>AND(#REF!,"AAAAAF+d7b0=")</f>
        <v>#REF!</v>
      </c>
      <c r="GI43" t="e">
        <f>AND(#REF!,"AAAAAF+d7b4=")</f>
        <v>#REF!</v>
      </c>
      <c r="GJ43" t="e">
        <f>AND(#REF!,"AAAAAF+d7b8=")</f>
        <v>#REF!</v>
      </c>
      <c r="GK43" t="e">
        <f>AND(#REF!,"AAAAAF+d7cA=")</f>
        <v>#REF!</v>
      </c>
      <c r="GL43" t="e">
        <f>AND(#REF!,"AAAAAF+d7cE=")</f>
        <v>#REF!</v>
      </c>
      <c r="GM43" t="e">
        <f>AND(#REF!,"AAAAAF+d7cI=")</f>
        <v>#REF!</v>
      </c>
      <c r="GN43" t="e">
        <f>AND(#REF!,"AAAAAF+d7cM=")</f>
        <v>#REF!</v>
      </c>
      <c r="GO43" t="e">
        <f>AND(#REF!,"AAAAAF+d7cQ=")</f>
        <v>#REF!</v>
      </c>
      <c r="GP43" t="e">
        <f>AND(#REF!,"AAAAAF+d7cU=")</f>
        <v>#REF!</v>
      </c>
      <c r="GQ43" t="e">
        <f>AND(#REF!,"AAAAAF+d7cY=")</f>
        <v>#REF!</v>
      </c>
      <c r="GR43" t="e">
        <f>AND(#REF!,"AAAAAF+d7cc=")</f>
        <v>#REF!</v>
      </c>
      <c r="GS43" t="e">
        <f>AND(#REF!,"AAAAAF+d7cg=")</f>
        <v>#REF!</v>
      </c>
      <c r="GT43" t="e">
        <f>AND(#REF!,"AAAAAF+d7ck=")</f>
        <v>#REF!</v>
      </c>
      <c r="GU43" t="e">
        <f>AND(#REF!,"AAAAAF+d7co=")</f>
        <v>#REF!</v>
      </c>
      <c r="GV43" t="e">
        <f>AND(#REF!,"AAAAAF+d7cs=")</f>
        <v>#REF!</v>
      </c>
      <c r="GW43" t="e">
        <f>AND(#REF!,"AAAAAF+d7cw=")</f>
        <v>#REF!</v>
      </c>
      <c r="GX43" t="e">
        <f>AND(#REF!,"AAAAAF+d7c0=")</f>
        <v>#REF!</v>
      </c>
      <c r="GY43" t="e">
        <f>AND(#REF!,"AAAAAF+d7c4=")</f>
        <v>#REF!</v>
      </c>
      <c r="GZ43" t="e">
        <f>AND(#REF!,"AAAAAF+d7c8=")</f>
        <v>#REF!</v>
      </c>
      <c r="HA43" t="e">
        <f>AND(#REF!,"AAAAAF+d7dA=")</f>
        <v>#REF!</v>
      </c>
      <c r="HB43" t="e">
        <f>AND(#REF!,"AAAAAF+d7dE=")</f>
        <v>#REF!</v>
      </c>
      <c r="HC43" t="e">
        <f>AND(#REF!,"AAAAAF+d7dI=")</f>
        <v>#REF!</v>
      </c>
      <c r="HD43" t="e">
        <f>AND(#REF!,"AAAAAF+d7dM=")</f>
        <v>#REF!</v>
      </c>
      <c r="HE43" t="e">
        <f>AND(#REF!,"AAAAAF+d7dQ=")</f>
        <v>#REF!</v>
      </c>
      <c r="HF43" t="e">
        <f>AND(#REF!,"AAAAAF+d7dU=")</f>
        <v>#REF!</v>
      </c>
      <c r="HG43" t="e">
        <f>AND(#REF!,"AAAAAF+d7dY=")</f>
        <v>#REF!</v>
      </c>
      <c r="HH43" t="e">
        <f>AND(#REF!,"AAAAAF+d7dc=")</f>
        <v>#REF!</v>
      </c>
      <c r="HI43" t="e">
        <f>AND(#REF!,"AAAAAF+d7dg=")</f>
        <v>#REF!</v>
      </c>
      <c r="HJ43" t="e">
        <f>AND(#REF!,"AAAAAF+d7dk=")</f>
        <v>#REF!</v>
      </c>
      <c r="HK43" t="e">
        <f>AND(#REF!,"AAAAAF+d7do=")</f>
        <v>#REF!</v>
      </c>
      <c r="HL43" t="e">
        <f>AND(#REF!,"AAAAAF+d7ds=")</f>
        <v>#REF!</v>
      </c>
      <c r="HM43" t="e">
        <f>AND(#REF!,"AAAAAF+d7dw=")</f>
        <v>#REF!</v>
      </c>
      <c r="HN43" t="e">
        <f>AND(#REF!,"AAAAAF+d7d0=")</f>
        <v>#REF!</v>
      </c>
      <c r="HO43" t="e">
        <f>AND(#REF!,"AAAAAF+d7d4=")</f>
        <v>#REF!</v>
      </c>
      <c r="HP43" t="e">
        <f>AND(#REF!,"AAAAAF+d7d8=")</f>
        <v>#REF!</v>
      </c>
      <c r="HQ43" t="e">
        <f>AND(#REF!,"AAAAAF+d7eA=")</f>
        <v>#REF!</v>
      </c>
      <c r="HR43" t="e">
        <f>AND(#REF!,"AAAAAF+d7eE=")</f>
        <v>#REF!</v>
      </c>
      <c r="HS43" t="e">
        <f>AND(#REF!,"AAAAAF+d7eI=")</f>
        <v>#REF!</v>
      </c>
      <c r="HT43" t="e">
        <f>AND(#REF!,"AAAAAF+d7eM=")</f>
        <v>#REF!</v>
      </c>
      <c r="HU43" t="e">
        <f>AND(#REF!,"AAAAAF+d7eQ=")</f>
        <v>#REF!</v>
      </c>
      <c r="HV43" t="e">
        <f>AND(#REF!,"AAAAAF+d7eU=")</f>
        <v>#REF!</v>
      </c>
      <c r="HW43" t="e">
        <f>AND(#REF!,"AAAAAF+d7eY=")</f>
        <v>#REF!</v>
      </c>
      <c r="HX43" t="e">
        <f>AND(#REF!,"AAAAAF+d7ec=")</f>
        <v>#REF!</v>
      </c>
      <c r="HY43" t="e">
        <f>AND(#REF!,"AAAAAF+d7eg=")</f>
        <v>#REF!</v>
      </c>
      <c r="HZ43" t="e">
        <f>AND(#REF!,"AAAAAF+d7ek=")</f>
        <v>#REF!</v>
      </c>
      <c r="IA43" t="e">
        <f>AND(#REF!,"AAAAAF+d7eo=")</f>
        <v>#REF!</v>
      </c>
      <c r="IB43" t="e">
        <f>AND(#REF!,"AAAAAF+d7es=")</f>
        <v>#REF!</v>
      </c>
      <c r="IC43" t="e">
        <f>AND(#REF!,"AAAAAF+d7ew=")</f>
        <v>#REF!</v>
      </c>
      <c r="ID43" t="e">
        <f>AND(#REF!,"AAAAAF+d7e0=")</f>
        <v>#REF!</v>
      </c>
      <c r="IE43" t="e">
        <f>AND(#REF!,"AAAAAF+d7e4=")</f>
        <v>#REF!</v>
      </c>
      <c r="IF43" t="e">
        <f>AND(#REF!,"AAAAAF+d7e8=")</f>
        <v>#REF!</v>
      </c>
      <c r="IG43" t="e">
        <f>AND(#REF!,"AAAAAF+d7fA=")</f>
        <v>#REF!</v>
      </c>
      <c r="IH43" t="e">
        <f>AND(#REF!,"AAAAAF+d7fE=")</f>
        <v>#REF!</v>
      </c>
      <c r="II43" t="e">
        <f>AND(#REF!,"AAAAAF+d7fI=")</f>
        <v>#REF!</v>
      </c>
      <c r="IJ43" t="e">
        <f>AND(#REF!,"AAAAAF+d7fM=")</f>
        <v>#REF!</v>
      </c>
      <c r="IK43" t="e">
        <f>AND(#REF!,"AAAAAF+d7fQ=")</f>
        <v>#REF!</v>
      </c>
      <c r="IL43" t="e">
        <f>AND(#REF!,"AAAAAF+d7fU=")</f>
        <v>#REF!</v>
      </c>
      <c r="IM43" t="e">
        <f>AND(#REF!,"AAAAAF+d7fY=")</f>
        <v>#REF!</v>
      </c>
      <c r="IN43" t="e">
        <f>AND(#REF!,"AAAAAF+d7fc=")</f>
        <v>#REF!</v>
      </c>
      <c r="IO43" t="e">
        <f>AND(#REF!,"AAAAAF+d7fg=")</f>
        <v>#REF!</v>
      </c>
      <c r="IP43" t="e">
        <f>AND(#REF!,"AAAAAF+d7fk=")</f>
        <v>#REF!</v>
      </c>
      <c r="IQ43" t="e">
        <f>AND(#REF!,"AAAAAF+d7fo=")</f>
        <v>#REF!</v>
      </c>
      <c r="IR43" t="e">
        <f>AND(#REF!,"AAAAAF+d7fs=")</f>
        <v>#REF!</v>
      </c>
      <c r="IS43" t="e">
        <f>AND(#REF!,"AAAAAF+d7fw=")</f>
        <v>#REF!</v>
      </c>
      <c r="IT43" t="e">
        <f>AND(#REF!,"AAAAAF+d7f0=")</f>
        <v>#REF!</v>
      </c>
      <c r="IU43" t="e">
        <f>AND(#REF!,"AAAAAF+d7f4=")</f>
        <v>#REF!</v>
      </c>
      <c r="IV43" t="e">
        <f>AND(#REF!,"AAAAAF+d7f8=")</f>
        <v>#REF!</v>
      </c>
    </row>
    <row r="44" spans="1:256" ht="15">
      <c r="A44" t="e">
        <f>AND(#REF!,"AAAAAGf7awA=")</f>
        <v>#REF!</v>
      </c>
      <c r="B44" t="e">
        <f>AND(#REF!,"AAAAAGf7awE=")</f>
        <v>#REF!</v>
      </c>
      <c r="C44" t="e">
        <f>AND(#REF!,"AAAAAGf7awI=")</f>
        <v>#REF!</v>
      </c>
      <c r="D44" t="e">
        <f>AND(#REF!,"AAAAAGf7awM=")</f>
        <v>#REF!</v>
      </c>
      <c r="E44" t="e">
        <f>AND(#REF!,"AAAAAGf7awQ=")</f>
        <v>#REF!</v>
      </c>
      <c r="F44" t="e">
        <f>AND(#REF!,"AAAAAGf7awU=")</f>
        <v>#REF!</v>
      </c>
      <c r="G44" t="e">
        <f>AND(#REF!,"AAAAAGf7awY=")</f>
        <v>#REF!</v>
      </c>
      <c r="H44" t="e">
        <f>IF(#REF!,"AAAAAGf7awc=",0)</f>
        <v>#REF!</v>
      </c>
      <c r="I44" t="e">
        <f>AND(#REF!,"AAAAAGf7awg=")</f>
        <v>#REF!</v>
      </c>
      <c r="J44" t="e">
        <f>AND(#REF!,"AAAAAGf7awk=")</f>
        <v>#REF!</v>
      </c>
      <c r="K44" t="e">
        <f>AND(#REF!,"AAAAAGf7awo=")</f>
        <v>#REF!</v>
      </c>
      <c r="L44" t="e">
        <f>AND(#REF!,"AAAAAGf7aws=")</f>
        <v>#REF!</v>
      </c>
      <c r="M44" t="e">
        <f>AND(#REF!,"AAAAAGf7aww=")</f>
        <v>#REF!</v>
      </c>
      <c r="N44" t="e">
        <f>AND(#REF!,"AAAAAGf7aw0=")</f>
        <v>#REF!</v>
      </c>
      <c r="O44" t="e">
        <f>AND(#REF!,"AAAAAGf7aw4=")</f>
        <v>#REF!</v>
      </c>
      <c r="P44" t="e">
        <f>AND(#REF!,"AAAAAGf7aw8=")</f>
        <v>#REF!</v>
      </c>
      <c r="Q44" t="e">
        <f>AND(#REF!,"AAAAAGf7axA=")</f>
        <v>#REF!</v>
      </c>
      <c r="R44" t="e">
        <f>AND(#REF!,"AAAAAGf7axE=")</f>
        <v>#REF!</v>
      </c>
      <c r="S44" t="e">
        <f>AND(#REF!,"AAAAAGf7axI=")</f>
        <v>#REF!</v>
      </c>
      <c r="T44" t="e">
        <f>AND(#REF!,"AAAAAGf7axM=")</f>
        <v>#REF!</v>
      </c>
      <c r="U44" t="e">
        <f>AND(#REF!,"AAAAAGf7axQ=")</f>
        <v>#REF!</v>
      </c>
      <c r="V44" t="e">
        <f>AND(#REF!,"AAAAAGf7axU=")</f>
        <v>#REF!</v>
      </c>
      <c r="W44" t="e">
        <f>AND(#REF!,"AAAAAGf7axY=")</f>
        <v>#REF!</v>
      </c>
      <c r="X44" t="e">
        <f>AND(#REF!,"AAAAAGf7axc=")</f>
        <v>#REF!</v>
      </c>
      <c r="Y44" t="e">
        <f>AND(#REF!,"AAAAAGf7axg=")</f>
        <v>#REF!</v>
      </c>
      <c r="Z44" t="e">
        <f>AND(#REF!,"AAAAAGf7axk=")</f>
        <v>#REF!</v>
      </c>
      <c r="AA44" t="e">
        <f>AND(#REF!,"AAAAAGf7axo=")</f>
        <v>#REF!</v>
      </c>
      <c r="AB44" t="e">
        <f>AND(#REF!,"AAAAAGf7axs=")</f>
        <v>#REF!</v>
      </c>
      <c r="AC44" t="e">
        <f>AND(#REF!,"AAAAAGf7axw=")</f>
        <v>#REF!</v>
      </c>
      <c r="AD44" t="e">
        <f>AND(#REF!,"AAAAAGf7ax0=")</f>
        <v>#REF!</v>
      </c>
      <c r="AE44" t="e">
        <f>AND(#REF!,"AAAAAGf7ax4=")</f>
        <v>#REF!</v>
      </c>
      <c r="AF44" t="e">
        <f>AND(#REF!,"AAAAAGf7ax8=")</f>
        <v>#REF!</v>
      </c>
      <c r="AG44" t="e">
        <f>AND(#REF!,"AAAAAGf7ayA=")</f>
        <v>#REF!</v>
      </c>
      <c r="AH44" t="e">
        <f>AND(#REF!,"AAAAAGf7ayE=")</f>
        <v>#REF!</v>
      </c>
      <c r="AI44" t="e">
        <f>AND(#REF!,"AAAAAGf7ayI=")</f>
        <v>#REF!</v>
      </c>
      <c r="AJ44" t="e">
        <f>AND(#REF!,"AAAAAGf7ayM=")</f>
        <v>#REF!</v>
      </c>
      <c r="AK44" t="e">
        <f>AND(#REF!,"AAAAAGf7ayQ=")</f>
        <v>#REF!</v>
      </c>
      <c r="AL44" t="e">
        <f>AND(#REF!,"AAAAAGf7ayU=")</f>
        <v>#REF!</v>
      </c>
      <c r="AM44" t="e">
        <f>AND(#REF!,"AAAAAGf7ayY=")</f>
        <v>#REF!</v>
      </c>
      <c r="AN44" t="e">
        <f>AND(#REF!,"AAAAAGf7ayc=")</f>
        <v>#REF!</v>
      </c>
      <c r="AO44" t="e">
        <f>AND(#REF!,"AAAAAGf7ayg=")</f>
        <v>#REF!</v>
      </c>
      <c r="AP44" t="e">
        <f>AND(#REF!,"AAAAAGf7ayk=")</f>
        <v>#REF!</v>
      </c>
      <c r="AQ44" t="e">
        <f>AND(#REF!,"AAAAAGf7ayo=")</f>
        <v>#REF!</v>
      </c>
      <c r="AR44" t="e">
        <f>AND(#REF!,"AAAAAGf7ays=")</f>
        <v>#REF!</v>
      </c>
      <c r="AS44" t="e">
        <f>AND(#REF!,"AAAAAGf7ayw=")</f>
        <v>#REF!</v>
      </c>
      <c r="AT44" t="e">
        <f>AND(#REF!,"AAAAAGf7ay0=")</f>
        <v>#REF!</v>
      </c>
      <c r="AU44" t="e">
        <f>AND(#REF!,"AAAAAGf7ay4=")</f>
        <v>#REF!</v>
      </c>
      <c r="AV44" t="e">
        <f>AND(#REF!,"AAAAAGf7ay8=")</f>
        <v>#REF!</v>
      </c>
      <c r="AW44" t="e">
        <f>AND(#REF!,"AAAAAGf7azA=")</f>
        <v>#REF!</v>
      </c>
      <c r="AX44" t="e">
        <f>AND(#REF!,"AAAAAGf7azE=")</f>
        <v>#REF!</v>
      </c>
      <c r="AY44" t="e">
        <f>AND(#REF!,"AAAAAGf7azI=")</f>
        <v>#REF!</v>
      </c>
      <c r="AZ44" t="e">
        <f>AND(#REF!,"AAAAAGf7azM=")</f>
        <v>#REF!</v>
      </c>
      <c r="BA44" t="e">
        <f>AND(#REF!,"AAAAAGf7azQ=")</f>
        <v>#REF!</v>
      </c>
      <c r="BB44" t="e">
        <f>AND(#REF!,"AAAAAGf7azU=")</f>
        <v>#REF!</v>
      </c>
      <c r="BC44" t="e">
        <f>AND(#REF!,"AAAAAGf7azY=")</f>
        <v>#REF!</v>
      </c>
      <c r="BD44" t="e">
        <f>AND(#REF!,"AAAAAGf7azc=")</f>
        <v>#REF!</v>
      </c>
      <c r="BE44" t="e">
        <f>AND(#REF!,"AAAAAGf7azg=")</f>
        <v>#REF!</v>
      </c>
      <c r="BF44" t="e">
        <f>AND(#REF!,"AAAAAGf7azk=")</f>
        <v>#REF!</v>
      </c>
      <c r="BG44" t="e">
        <f>AND(#REF!,"AAAAAGf7azo=")</f>
        <v>#REF!</v>
      </c>
      <c r="BH44" t="e">
        <f>AND(#REF!,"AAAAAGf7azs=")</f>
        <v>#REF!</v>
      </c>
      <c r="BI44" t="e">
        <f>AND(#REF!,"AAAAAGf7azw=")</f>
        <v>#REF!</v>
      </c>
      <c r="BJ44" t="e">
        <f>AND(#REF!,"AAAAAGf7az0=")</f>
        <v>#REF!</v>
      </c>
      <c r="BK44" t="e">
        <f>AND(#REF!,"AAAAAGf7az4=")</f>
        <v>#REF!</v>
      </c>
      <c r="BL44" t="e">
        <f>AND(#REF!,"AAAAAGf7az8=")</f>
        <v>#REF!</v>
      </c>
      <c r="BM44" t="e">
        <f>AND(#REF!,"AAAAAGf7a0A=")</f>
        <v>#REF!</v>
      </c>
      <c r="BN44" t="e">
        <f>AND(#REF!,"AAAAAGf7a0E=")</f>
        <v>#REF!</v>
      </c>
      <c r="BO44" t="e">
        <f>AND(#REF!,"AAAAAGf7a0I=")</f>
        <v>#REF!</v>
      </c>
      <c r="BP44" t="e">
        <f>AND(#REF!,"AAAAAGf7a0M=")</f>
        <v>#REF!</v>
      </c>
      <c r="BQ44" t="e">
        <f>AND(#REF!,"AAAAAGf7a0Q=")</f>
        <v>#REF!</v>
      </c>
      <c r="BR44" t="e">
        <f>AND(#REF!,"AAAAAGf7a0U=")</f>
        <v>#REF!</v>
      </c>
      <c r="BS44" t="e">
        <f>AND(#REF!,"AAAAAGf7a0Y=")</f>
        <v>#REF!</v>
      </c>
      <c r="BT44" t="e">
        <f>AND(#REF!,"AAAAAGf7a0c=")</f>
        <v>#REF!</v>
      </c>
      <c r="BU44" t="e">
        <f>AND(#REF!,"AAAAAGf7a0g=")</f>
        <v>#REF!</v>
      </c>
      <c r="BV44" t="e">
        <f>AND(#REF!,"AAAAAGf7a0k=")</f>
        <v>#REF!</v>
      </c>
      <c r="BW44" t="e">
        <f>AND(#REF!,"AAAAAGf7a0o=")</f>
        <v>#REF!</v>
      </c>
      <c r="BX44" t="e">
        <f>AND(#REF!,"AAAAAGf7a0s=")</f>
        <v>#REF!</v>
      </c>
      <c r="BY44" t="e">
        <f>AND(#REF!,"AAAAAGf7a0w=")</f>
        <v>#REF!</v>
      </c>
      <c r="BZ44" t="e">
        <f>AND(#REF!,"AAAAAGf7a00=")</f>
        <v>#REF!</v>
      </c>
      <c r="CA44" t="e">
        <f>AND(#REF!,"AAAAAGf7a04=")</f>
        <v>#REF!</v>
      </c>
      <c r="CB44" t="e">
        <f>AND(#REF!,"AAAAAGf7a08=")</f>
        <v>#REF!</v>
      </c>
      <c r="CC44" t="e">
        <f>AND(#REF!,"AAAAAGf7a1A=")</f>
        <v>#REF!</v>
      </c>
      <c r="CD44" t="e">
        <f>AND(#REF!,"AAAAAGf7a1E=")</f>
        <v>#REF!</v>
      </c>
      <c r="CE44" t="e">
        <f>AND(#REF!,"AAAAAGf7a1I=")</f>
        <v>#REF!</v>
      </c>
      <c r="CF44" t="e">
        <f>AND(#REF!,"AAAAAGf7a1M=")</f>
        <v>#REF!</v>
      </c>
      <c r="CG44" t="e">
        <f>AND(#REF!,"AAAAAGf7a1Q=")</f>
        <v>#REF!</v>
      </c>
      <c r="CH44" t="e">
        <f>AND(#REF!,"AAAAAGf7a1U=")</f>
        <v>#REF!</v>
      </c>
      <c r="CI44" t="e">
        <f>AND(#REF!,"AAAAAGf7a1Y=")</f>
        <v>#REF!</v>
      </c>
      <c r="CJ44" t="e">
        <f>AND(#REF!,"AAAAAGf7a1c=")</f>
        <v>#REF!</v>
      </c>
      <c r="CK44" t="e">
        <f>AND(#REF!,"AAAAAGf7a1g=")</f>
        <v>#REF!</v>
      </c>
      <c r="CL44" t="e">
        <f>AND(#REF!,"AAAAAGf7a1k=")</f>
        <v>#REF!</v>
      </c>
      <c r="CM44" t="e">
        <f>AND(#REF!,"AAAAAGf7a1o=")</f>
        <v>#REF!</v>
      </c>
      <c r="CN44" t="e">
        <f>AND(#REF!,"AAAAAGf7a1s=")</f>
        <v>#REF!</v>
      </c>
      <c r="CO44" t="e">
        <f>AND(#REF!,"AAAAAGf7a1w=")</f>
        <v>#REF!</v>
      </c>
      <c r="CP44" t="e">
        <f>AND(#REF!,"AAAAAGf7a10=")</f>
        <v>#REF!</v>
      </c>
      <c r="CQ44" t="e">
        <f>AND(#REF!,"AAAAAGf7a14=")</f>
        <v>#REF!</v>
      </c>
      <c r="CR44" t="e">
        <f>AND(#REF!,"AAAAAGf7a18=")</f>
        <v>#REF!</v>
      </c>
      <c r="CS44" t="e">
        <f>AND(#REF!,"AAAAAGf7a2A=")</f>
        <v>#REF!</v>
      </c>
      <c r="CT44" t="e">
        <f>AND(#REF!,"AAAAAGf7a2E=")</f>
        <v>#REF!</v>
      </c>
      <c r="CU44" t="e">
        <f>AND(#REF!,"AAAAAGf7a2I=")</f>
        <v>#REF!</v>
      </c>
      <c r="CV44" t="e">
        <f>AND(#REF!,"AAAAAGf7a2M=")</f>
        <v>#REF!</v>
      </c>
      <c r="CW44" t="e">
        <f>AND(#REF!,"AAAAAGf7a2Q=")</f>
        <v>#REF!</v>
      </c>
      <c r="CX44" t="e">
        <f>AND(#REF!,"AAAAAGf7a2U=")</f>
        <v>#REF!</v>
      </c>
      <c r="CY44" t="e">
        <f>AND(#REF!,"AAAAAGf7a2Y=")</f>
        <v>#REF!</v>
      </c>
      <c r="CZ44" t="e">
        <f>AND(#REF!,"AAAAAGf7a2c=")</f>
        <v>#REF!</v>
      </c>
      <c r="DA44" t="e">
        <f>AND(#REF!,"AAAAAGf7a2g=")</f>
        <v>#REF!</v>
      </c>
      <c r="DB44" t="e">
        <f>AND(#REF!,"AAAAAGf7a2k=")</f>
        <v>#REF!</v>
      </c>
      <c r="DC44" t="e">
        <f>AND(#REF!,"AAAAAGf7a2o=")</f>
        <v>#REF!</v>
      </c>
      <c r="DD44" t="e">
        <f>AND(#REF!,"AAAAAGf7a2s=")</f>
        <v>#REF!</v>
      </c>
      <c r="DE44" t="e">
        <f>AND(#REF!,"AAAAAGf7a2w=")</f>
        <v>#REF!</v>
      </c>
      <c r="DF44" t="e">
        <f>AND(#REF!,"AAAAAGf7a20=")</f>
        <v>#REF!</v>
      </c>
      <c r="DG44" t="e">
        <f>AND(#REF!,"AAAAAGf7a24=")</f>
        <v>#REF!</v>
      </c>
      <c r="DH44" t="e">
        <f>AND(#REF!,"AAAAAGf7a28=")</f>
        <v>#REF!</v>
      </c>
      <c r="DI44" t="e">
        <f>AND(#REF!,"AAAAAGf7a3A=")</f>
        <v>#REF!</v>
      </c>
      <c r="DJ44" t="e">
        <f>AND(#REF!,"AAAAAGf7a3E=")</f>
        <v>#REF!</v>
      </c>
      <c r="DK44" t="e">
        <f>AND(#REF!,"AAAAAGf7a3I=")</f>
        <v>#REF!</v>
      </c>
      <c r="DL44" t="e">
        <f>AND(#REF!,"AAAAAGf7a3M=")</f>
        <v>#REF!</v>
      </c>
      <c r="DM44" t="e">
        <f>AND(#REF!,"AAAAAGf7a3Q=")</f>
        <v>#REF!</v>
      </c>
      <c r="DN44" t="e">
        <f>AND(#REF!,"AAAAAGf7a3U=")</f>
        <v>#REF!</v>
      </c>
      <c r="DO44" t="e">
        <f>AND(#REF!,"AAAAAGf7a3Y=")</f>
        <v>#REF!</v>
      </c>
      <c r="DP44" t="e">
        <f>AND(#REF!,"AAAAAGf7a3c=")</f>
        <v>#REF!</v>
      </c>
      <c r="DQ44" t="e">
        <f>AND(#REF!,"AAAAAGf7a3g=")</f>
        <v>#REF!</v>
      </c>
      <c r="DR44" t="e">
        <f>AND(#REF!,"AAAAAGf7a3k=")</f>
        <v>#REF!</v>
      </c>
      <c r="DS44" t="e">
        <f>AND(#REF!,"AAAAAGf7a3o=")</f>
        <v>#REF!</v>
      </c>
      <c r="DT44" t="e">
        <f>AND(#REF!,"AAAAAGf7a3s=")</f>
        <v>#REF!</v>
      </c>
      <c r="DU44" t="e">
        <f>AND(#REF!,"AAAAAGf7a3w=")</f>
        <v>#REF!</v>
      </c>
      <c r="DV44" t="e">
        <f>AND(#REF!,"AAAAAGf7a30=")</f>
        <v>#REF!</v>
      </c>
      <c r="DW44" t="e">
        <f>AND(#REF!,"AAAAAGf7a34=")</f>
        <v>#REF!</v>
      </c>
      <c r="DX44" t="e">
        <f>AND(#REF!,"AAAAAGf7a38=")</f>
        <v>#REF!</v>
      </c>
      <c r="DY44" t="e">
        <f>AND(#REF!,"AAAAAGf7a4A=")</f>
        <v>#REF!</v>
      </c>
      <c r="DZ44" t="e">
        <f>AND(#REF!,"AAAAAGf7a4E=")</f>
        <v>#REF!</v>
      </c>
      <c r="EA44" t="e">
        <f>AND(#REF!,"AAAAAGf7a4I=")</f>
        <v>#REF!</v>
      </c>
      <c r="EB44" t="e">
        <f>AND(#REF!,"AAAAAGf7a4M=")</f>
        <v>#REF!</v>
      </c>
      <c r="EC44" t="e">
        <f>AND(#REF!,"AAAAAGf7a4Q=")</f>
        <v>#REF!</v>
      </c>
      <c r="ED44" t="e">
        <f>AND(#REF!,"AAAAAGf7a4U=")</f>
        <v>#REF!</v>
      </c>
      <c r="EE44" t="e">
        <f>AND(#REF!,"AAAAAGf7a4Y=")</f>
        <v>#REF!</v>
      </c>
      <c r="EF44" t="e">
        <f>AND(#REF!,"AAAAAGf7a4c=")</f>
        <v>#REF!</v>
      </c>
      <c r="EG44" t="e">
        <f>AND(#REF!,"AAAAAGf7a4g=")</f>
        <v>#REF!</v>
      </c>
      <c r="EH44" t="e">
        <f>AND(#REF!,"AAAAAGf7a4k=")</f>
        <v>#REF!</v>
      </c>
      <c r="EI44" t="e">
        <f>AND(#REF!,"AAAAAGf7a4o=")</f>
        <v>#REF!</v>
      </c>
      <c r="EJ44" t="e">
        <f>AND(#REF!,"AAAAAGf7a4s=")</f>
        <v>#REF!</v>
      </c>
      <c r="EK44" t="e">
        <f>AND(#REF!,"AAAAAGf7a4w=")</f>
        <v>#REF!</v>
      </c>
      <c r="EL44" t="e">
        <f>AND(#REF!,"AAAAAGf7a40=")</f>
        <v>#REF!</v>
      </c>
      <c r="EM44" t="e">
        <f>AND(#REF!,"AAAAAGf7a44=")</f>
        <v>#REF!</v>
      </c>
      <c r="EN44" t="e">
        <f>IF(#REF!,"AAAAAGf7a48=",0)</f>
        <v>#REF!</v>
      </c>
      <c r="EO44" t="e">
        <f>AND(#REF!,"AAAAAGf7a5A=")</f>
        <v>#REF!</v>
      </c>
      <c r="EP44" t="e">
        <f>AND(#REF!,"AAAAAGf7a5E=")</f>
        <v>#REF!</v>
      </c>
      <c r="EQ44" t="e">
        <f>AND(#REF!,"AAAAAGf7a5I=")</f>
        <v>#REF!</v>
      </c>
      <c r="ER44" t="e">
        <f>AND(#REF!,"AAAAAGf7a5M=")</f>
        <v>#REF!</v>
      </c>
      <c r="ES44" t="e">
        <f>AND(#REF!,"AAAAAGf7a5Q=")</f>
        <v>#REF!</v>
      </c>
      <c r="ET44" t="e">
        <f>AND(#REF!,"AAAAAGf7a5U=")</f>
        <v>#REF!</v>
      </c>
      <c r="EU44" t="e">
        <f>AND(#REF!,"AAAAAGf7a5Y=")</f>
        <v>#REF!</v>
      </c>
      <c r="EV44" t="e">
        <f>AND(#REF!,"AAAAAGf7a5c=")</f>
        <v>#REF!</v>
      </c>
      <c r="EW44" t="e">
        <f>AND(#REF!,"AAAAAGf7a5g=")</f>
        <v>#REF!</v>
      </c>
      <c r="EX44" t="e">
        <f>AND(#REF!,"AAAAAGf7a5k=")</f>
        <v>#REF!</v>
      </c>
      <c r="EY44" t="e">
        <f>AND(#REF!,"AAAAAGf7a5o=")</f>
        <v>#REF!</v>
      </c>
      <c r="EZ44" t="e">
        <f>AND(#REF!,"AAAAAGf7a5s=")</f>
        <v>#REF!</v>
      </c>
      <c r="FA44" t="e">
        <f>AND(#REF!,"AAAAAGf7a5w=")</f>
        <v>#REF!</v>
      </c>
      <c r="FB44" t="e">
        <f>AND(#REF!,"AAAAAGf7a50=")</f>
        <v>#REF!</v>
      </c>
      <c r="FC44" t="e">
        <f>AND(#REF!,"AAAAAGf7a54=")</f>
        <v>#REF!</v>
      </c>
      <c r="FD44" t="e">
        <f>AND(#REF!,"AAAAAGf7a58=")</f>
        <v>#REF!</v>
      </c>
      <c r="FE44" t="e">
        <f>AND(#REF!,"AAAAAGf7a6A=")</f>
        <v>#REF!</v>
      </c>
      <c r="FF44" t="e">
        <f>AND(#REF!,"AAAAAGf7a6E=")</f>
        <v>#REF!</v>
      </c>
      <c r="FG44" t="e">
        <f>AND(#REF!,"AAAAAGf7a6I=")</f>
        <v>#REF!</v>
      </c>
      <c r="FH44" t="e">
        <f>AND(#REF!,"AAAAAGf7a6M=")</f>
        <v>#REF!</v>
      </c>
      <c r="FI44" t="e">
        <f>AND(#REF!,"AAAAAGf7a6Q=")</f>
        <v>#REF!</v>
      </c>
      <c r="FJ44" t="e">
        <f>AND(#REF!,"AAAAAGf7a6U=")</f>
        <v>#REF!</v>
      </c>
      <c r="FK44" t="e">
        <f>AND(#REF!,"AAAAAGf7a6Y=")</f>
        <v>#REF!</v>
      </c>
      <c r="FL44" t="e">
        <f>AND(#REF!,"AAAAAGf7a6c=")</f>
        <v>#REF!</v>
      </c>
      <c r="FM44" t="e">
        <f>AND(#REF!,"AAAAAGf7a6g=")</f>
        <v>#REF!</v>
      </c>
      <c r="FN44" t="e">
        <f>AND(#REF!,"AAAAAGf7a6k=")</f>
        <v>#REF!</v>
      </c>
      <c r="FO44" t="e">
        <f>AND(#REF!,"AAAAAGf7a6o=")</f>
        <v>#REF!</v>
      </c>
      <c r="FP44" t="e">
        <f>AND(#REF!,"AAAAAGf7a6s=")</f>
        <v>#REF!</v>
      </c>
      <c r="FQ44" t="e">
        <f>AND(#REF!,"AAAAAGf7a6w=")</f>
        <v>#REF!</v>
      </c>
      <c r="FR44" t="e">
        <f>AND(#REF!,"AAAAAGf7a60=")</f>
        <v>#REF!</v>
      </c>
      <c r="FS44" t="e">
        <f>AND(#REF!,"AAAAAGf7a64=")</f>
        <v>#REF!</v>
      </c>
      <c r="FT44" t="e">
        <f>AND(#REF!,"AAAAAGf7a68=")</f>
        <v>#REF!</v>
      </c>
      <c r="FU44" t="e">
        <f>AND(#REF!,"AAAAAGf7a7A=")</f>
        <v>#REF!</v>
      </c>
      <c r="FV44" t="e">
        <f>AND(#REF!,"AAAAAGf7a7E=")</f>
        <v>#REF!</v>
      </c>
      <c r="FW44" t="e">
        <f>AND(#REF!,"AAAAAGf7a7I=")</f>
        <v>#REF!</v>
      </c>
      <c r="FX44" t="e">
        <f>AND(#REF!,"AAAAAGf7a7M=")</f>
        <v>#REF!</v>
      </c>
      <c r="FY44" t="e">
        <f>AND(#REF!,"AAAAAGf7a7Q=")</f>
        <v>#REF!</v>
      </c>
      <c r="FZ44" t="e">
        <f>AND(#REF!,"AAAAAGf7a7U=")</f>
        <v>#REF!</v>
      </c>
      <c r="GA44" t="e">
        <f>AND(#REF!,"AAAAAGf7a7Y=")</f>
        <v>#REF!</v>
      </c>
      <c r="GB44" t="e">
        <f>AND(#REF!,"AAAAAGf7a7c=")</f>
        <v>#REF!</v>
      </c>
      <c r="GC44" t="e">
        <f>AND(#REF!,"AAAAAGf7a7g=")</f>
        <v>#REF!</v>
      </c>
      <c r="GD44" t="e">
        <f>AND(#REF!,"AAAAAGf7a7k=")</f>
        <v>#REF!</v>
      </c>
      <c r="GE44" t="e">
        <f>AND(#REF!,"AAAAAGf7a7o=")</f>
        <v>#REF!</v>
      </c>
      <c r="GF44" t="e">
        <f>AND(#REF!,"AAAAAGf7a7s=")</f>
        <v>#REF!</v>
      </c>
      <c r="GG44" t="e">
        <f>AND(#REF!,"AAAAAGf7a7w=")</f>
        <v>#REF!</v>
      </c>
      <c r="GH44" t="e">
        <f>AND(#REF!,"AAAAAGf7a70=")</f>
        <v>#REF!</v>
      </c>
      <c r="GI44" t="e">
        <f>AND(#REF!,"AAAAAGf7a74=")</f>
        <v>#REF!</v>
      </c>
      <c r="GJ44" t="e">
        <f>AND(#REF!,"AAAAAGf7a78=")</f>
        <v>#REF!</v>
      </c>
      <c r="GK44" t="e">
        <f>AND(#REF!,"AAAAAGf7a8A=")</f>
        <v>#REF!</v>
      </c>
      <c r="GL44" t="e">
        <f>AND(#REF!,"AAAAAGf7a8E=")</f>
        <v>#REF!</v>
      </c>
      <c r="GM44" t="e">
        <f>AND(#REF!,"AAAAAGf7a8I=")</f>
        <v>#REF!</v>
      </c>
      <c r="GN44" t="e">
        <f>AND(#REF!,"AAAAAGf7a8M=")</f>
        <v>#REF!</v>
      </c>
      <c r="GO44" t="e">
        <f>AND(#REF!,"AAAAAGf7a8Q=")</f>
        <v>#REF!</v>
      </c>
      <c r="GP44" t="e">
        <f>AND(#REF!,"AAAAAGf7a8U=")</f>
        <v>#REF!</v>
      </c>
      <c r="GQ44" t="e">
        <f>AND(#REF!,"AAAAAGf7a8Y=")</f>
        <v>#REF!</v>
      </c>
      <c r="GR44" t="e">
        <f>AND(#REF!,"AAAAAGf7a8c=")</f>
        <v>#REF!</v>
      </c>
      <c r="GS44" t="e">
        <f>AND(#REF!,"AAAAAGf7a8g=")</f>
        <v>#REF!</v>
      </c>
      <c r="GT44" t="e">
        <f>AND(#REF!,"AAAAAGf7a8k=")</f>
        <v>#REF!</v>
      </c>
      <c r="GU44" t="e">
        <f>AND(#REF!,"AAAAAGf7a8o=")</f>
        <v>#REF!</v>
      </c>
      <c r="GV44" t="e">
        <f>AND(#REF!,"AAAAAGf7a8s=")</f>
        <v>#REF!</v>
      </c>
      <c r="GW44" t="e">
        <f>AND(#REF!,"AAAAAGf7a8w=")</f>
        <v>#REF!</v>
      </c>
      <c r="GX44" t="e">
        <f>AND(#REF!,"AAAAAGf7a80=")</f>
        <v>#REF!</v>
      </c>
      <c r="GY44" t="e">
        <f>AND(#REF!,"AAAAAGf7a84=")</f>
        <v>#REF!</v>
      </c>
      <c r="GZ44" t="e">
        <f>AND(#REF!,"AAAAAGf7a88=")</f>
        <v>#REF!</v>
      </c>
      <c r="HA44" t="e">
        <f>AND(#REF!,"AAAAAGf7a9A=")</f>
        <v>#REF!</v>
      </c>
      <c r="HB44" t="e">
        <f>AND(#REF!,"AAAAAGf7a9E=")</f>
        <v>#REF!</v>
      </c>
      <c r="HC44" t="e">
        <f>AND(#REF!,"AAAAAGf7a9I=")</f>
        <v>#REF!</v>
      </c>
      <c r="HD44" t="e">
        <f>AND(#REF!,"AAAAAGf7a9M=")</f>
        <v>#REF!</v>
      </c>
      <c r="HE44" t="e">
        <f>AND(#REF!,"AAAAAGf7a9Q=")</f>
        <v>#REF!</v>
      </c>
      <c r="HF44" t="e">
        <f>AND(#REF!,"AAAAAGf7a9U=")</f>
        <v>#REF!</v>
      </c>
      <c r="HG44" t="e">
        <f>AND(#REF!,"AAAAAGf7a9Y=")</f>
        <v>#REF!</v>
      </c>
      <c r="HH44" t="e">
        <f>AND(#REF!,"AAAAAGf7a9c=")</f>
        <v>#REF!</v>
      </c>
      <c r="HI44" t="e">
        <f>AND(#REF!,"AAAAAGf7a9g=")</f>
        <v>#REF!</v>
      </c>
      <c r="HJ44" t="e">
        <f>AND(#REF!,"AAAAAGf7a9k=")</f>
        <v>#REF!</v>
      </c>
      <c r="HK44" t="e">
        <f>AND(#REF!,"AAAAAGf7a9o=")</f>
        <v>#REF!</v>
      </c>
      <c r="HL44" t="e">
        <f>AND(#REF!,"AAAAAGf7a9s=")</f>
        <v>#REF!</v>
      </c>
      <c r="HM44" t="e">
        <f>AND(#REF!,"AAAAAGf7a9w=")</f>
        <v>#REF!</v>
      </c>
      <c r="HN44" t="e">
        <f>AND(#REF!,"AAAAAGf7a90=")</f>
        <v>#REF!</v>
      </c>
      <c r="HO44" t="e">
        <f>AND(#REF!,"AAAAAGf7a94=")</f>
        <v>#REF!</v>
      </c>
      <c r="HP44" t="e">
        <f>AND(#REF!,"AAAAAGf7a98=")</f>
        <v>#REF!</v>
      </c>
      <c r="HQ44" t="e">
        <f>AND(#REF!,"AAAAAGf7a+A=")</f>
        <v>#REF!</v>
      </c>
      <c r="HR44" t="e">
        <f>AND(#REF!,"AAAAAGf7a+E=")</f>
        <v>#REF!</v>
      </c>
      <c r="HS44" t="e">
        <f>AND(#REF!,"AAAAAGf7a+I=")</f>
        <v>#REF!</v>
      </c>
      <c r="HT44" t="e">
        <f>AND(#REF!,"AAAAAGf7a+M=")</f>
        <v>#REF!</v>
      </c>
      <c r="HU44" t="e">
        <f>AND(#REF!,"AAAAAGf7a+Q=")</f>
        <v>#REF!</v>
      </c>
      <c r="HV44" t="e">
        <f>AND(#REF!,"AAAAAGf7a+U=")</f>
        <v>#REF!</v>
      </c>
      <c r="HW44" t="e">
        <f>AND(#REF!,"AAAAAGf7a+Y=")</f>
        <v>#REF!</v>
      </c>
      <c r="HX44" t="e">
        <f>AND(#REF!,"AAAAAGf7a+c=")</f>
        <v>#REF!</v>
      </c>
      <c r="HY44" t="e">
        <f>AND(#REF!,"AAAAAGf7a+g=")</f>
        <v>#REF!</v>
      </c>
      <c r="HZ44" t="e">
        <f>AND(#REF!,"AAAAAGf7a+k=")</f>
        <v>#REF!</v>
      </c>
      <c r="IA44" t="e">
        <f>AND(#REF!,"AAAAAGf7a+o=")</f>
        <v>#REF!</v>
      </c>
      <c r="IB44" t="e">
        <f>AND(#REF!,"AAAAAGf7a+s=")</f>
        <v>#REF!</v>
      </c>
      <c r="IC44" t="e">
        <f>AND(#REF!,"AAAAAGf7a+w=")</f>
        <v>#REF!</v>
      </c>
      <c r="ID44" t="e">
        <f>AND(#REF!,"AAAAAGf7a+0=")</f>
        <v>#REF!</v>
      </c>
      <c r="IE44" t="e">
        <f>AND(#REF!,"AAAAAGf7a+4=")</f>
        <v>#REF!</v>
      </c>
      <c r="IF44" t="e">
        <f>AND(#REF!,"AAAAAGf7a+8=")</f>
        <v>#REF!</v>
      </c>
      <c r="IG44" t="e">
        <f>AND(#REF!,"AAAAAGf7a/A=")</f>
        <v>#REF!</v>
      </c>
      <c r="IH44" t="e">
        <f>AND(#REF!,"AAAAAGf7a/E=")</f>
        <v>#REF!</v>
      </c>
      <c r="II44" t="e">
        <f>AND(#REF!,"AAAAAGf7a/I=")</f>
        <v>#REF!</v>
      </c>
      <c r="IJ44" t="e">
        <f>AND(#REF!,"AAAAAGf7a/M=")</f>
        <v>#REF!</v>
      </c>
      <c r="IK44" t="e">
        <f>AND(#REF!,"AAAAAGf7a/Q=")</f>
        <v>#REF!</v>
      </c>
      <c r="IL44" t="e">
        <f>AND(#REF!,"AAAAAGf7a/U=")</f>
        <v>#REF!</v>
      </c>
      <c r="IM44" t="e">
        <f>AND(#REF!,"AAAAAGf7a/Y=")</f>
        <v>#REF!</v>
      </c>
      <c r="IN44" t="e">
        <f>AND(#REF!,"AAAAAGf7a/c=")</f>
        <v>#REF!</v>
      </c>
      <c r="IO44" t="e">
        <f>AND(#REF!,"AAAAAGf7a/g=")</f>
        <v>#REF!</v>
      </c>
      <c r="IP44" t="e">
        <f>AND(#REF!,"AAAAAGf7a/k=")</f>
        <v>#REF!</v>
      </c>
      <c r="IQ44" t="e">
        <f>AND(#REF!,"AAAAAGf7a/o=")</f>
        <v>#REF!</v>
      </c>
      <c r="IR44" t="e">
        <f>AND(#REF!,"AAAAAGf7a/s=")</f>
        <v>#REF!</v>
      </c>
      <c r="IS44" t="e">
        <f>AND(#REF!,"AAAAAGf7a/w=")</f>
        <v>#REF!</v>
      </c>
      <c r="IT44" t="e">
        <f>AND(#REF!,"AAAAAGf7a/0=")</f>
        <v>#REF!</v>
      </c>
      <c r="IU44" t="e">
        <f>AND(#REF!,"AAAAAGf7a/4=")</f>
        <v>#REF!</v>
      </c>
      <c r="IV44" t="e">
        <f>AND(#REF!,"AAAAAGf7a/8=")</f>
        <v>#REF!</v>
      </c>
    </row>
    <row r="45" spans="1:256" ht="15">
      <c r="A45" t="e">
        <f>AND(#REF!,"AAAAAH477wA=")</f>
        <v>#REF!</v>
      </c>
      <c r="B45" t="e">
        <f>AND(#REF!,"AAAAAH477wE=")</f>
        <v>#REF!</v>
      </c>
      <c r="C45" t="e">
        <f>AND(#REF!,"AAAAAH477wI=")</f>
        <v>#REF!</v>
      </c>
      <c r="D45" t="e">
        <f>AND(#REF!,"AAAAAH477wM=")</f>
        <v>#REF!</v>
      </c>
      <c r="E45" t="e">
        <f>AND(#REF!,"AAAAAH477wQ=")</f>
        <v>#REF!</v>
      </c>
      <c r="F45" t="e">
        <f>AND(#REF!,"AAAAAH477wU=")</f>
        <v>#REF!</v>
      </c>
      <c r="G45" t="e">
        <f>AND(#REF!,"AAAAAH477wY=")</f>
        <v>#REF!</v>
      </c>
      <c r="H45" t="e">
        <f>AND(#REF!,"AAAAAH477wc=")</f>
        <v>#REF!</v>
      </c>
      <c r="I45" t="e">
        <f>AND(#REF!,"AAAAAH477wg=")</f>
        <v>#REF!</v>
      </c>
      <c r="J45" t="e">
        <f>AND(#REF!,"AAAAAH477wk=")</f>
        <v>#REF!</v>
      </c>
      <c r="K45" t="e">
        <f>AND(#REF!,"AAAAAH477wo=")</f>
        <v>#REF!</v>
      </c>
      <c r="L45" t="e">
        <f>AND(#REF!,"AAAAAH477ws=")</f>
        <v>#REF!</v>
      </c>
      <c r="M45" t="e">
        <f>AND(#REF!,"AAAAAH477ww=")</f>
        <v>#REF!</v>
      </c>
      <c r="N45" t="e">
        <f>AND(#REF!,"AAAAAH477w0=")</f>
        <v>#REF!</v>
      </c>
      <c r="O45" t="e">
        <f>AND(#REF!,"AAAAAH477w4=")</f>
        <v>#REF!</v>
      </c>
      <c r="P45" t="e">
        <f>AND(#REF!,"AAAAAH477w8=")</f>
        <v>#REF!</v>
      </c>
      <c r="Q45" t="e">
        <f>AND(#REF!,"AAAAAH477xA=")</f>
        <v>#REF!</v>
      </c>
      <c r="R45" t="e">
        <f>AND(#REF!,"AAAAAH477xE=")</f>
        <v>#REF!</v>
      </c>
      <c r="S45" t="e">
        <f>AND(#REF!,"AAAAAH477xI=")</f>
        <v>#REF!</v>
      </c>
      <c r="T45" t="e">
        <f>AND(#REF!,"AAAAAH477xM=")</f>
        <v>#REF!</v>
      </c>
      <c r="U45" t="e">
        <f>AND(#REF!,"AAAAAH477xQ=")</f>
        <v>#REF!</v>
      </c>
      <c r="V45" t="e">
        <f>AND(#REF!,"AAAAAH477xU=")</f>
        <v>#REF!</v>
      </c>
      <c r="W45" t="e">
        <f>AND(#REF!,"AAAAAH477xY=")</f>
        <v>#REF!</v>
      </c>
      <c r="X45" t="e">
        <f>IF(#REF!,"AAAAAH477xc=",0)</f>
        <v>#REF!</v>
      </c>
      <c r="Y45" t="e">
        <f>AND(#REF!,"AAAAAH477xg=")</f>
        <v>#REF!</v>
      </c>
      <c r="Z45" t="e">
        <f>AND(#REF!,"AAAAAH477xk=")</f>
        <v>#REF!</v>
      </c>
      <c r="AA45" t="e">
        <f>AND(#REF!,"AAAAAH477xo=")</f>
        <v>#REF!</v>
      </c>
      <c r="AB45" t="e">
        <f>AND(#REF!,"AAAAAH477xs=")</f>
        <v>#REF!</v>
      </c>
      <c r="AC45" t="e">
        <f>AND(#REF!,"AAAAAH477xw=")</f>
        <v>#REF!</v>
      </c>
      <c r="AD45" t="e">
        <f>AND(#REF!,"AAAAAH477x0=")</f>
        <v>#REF!</v>
      </c>
      <c r="AE45" t="e">
        <f>AND(#REF!,"AAAAAH477x4=")</f>
        <v>#REF!</v>
      </c>
      <c r="AF45" t="e">
        <f>AND(#REF!,"AAAAAH477x8=")</f>
        <v>#REF!</v>
      </c>
      <c r="AG45" t="e">
        <f>AND(#REF!,"AAAAAH477yA=")</f>
        <v>#REF!</v>
      </c>
      <c r="AH45" t="e">
        <f>AND(#REF!,"AAAAAH477yE=")</f>
        <v>#REF!</v>
      </c>
      <c r="AI45" t="e">
        <f>AND(#REF!,"AAAAAH477yI=")</f>
        <v>#REF!</v>
      </c>
      <c r="AJ45" t="e">
        <f>AND(#REF!,"AAAAAH477yM=")</f>
        <v>#REF!</v>
      </c>
      <c r="AK45" t="e">
        <f>AND(#REF!,"AAAAAH477yQ=")</f>
        <v>#REF!</v>
      </c>
      <c r="AL45" t="e">
        <f>AND(#REF!,"AAAAAH477yU=")</f>
        <v>#REF!</v>
      </c>
      <c r="AM45" t="e">
        <f>AND(#REF!,"AAAAAH477yY=")</f>
        <v>#REF!</v>
      </c>
      <c r="AN45" t="e">
        <f>AND(#REF!,"AAAAAH477yc=")</f>
        <v>#REF!</v>
      </c>
      <c r="AO45" t="e">
        <f>AND(#REF!,"AAAAAH477yg=")</f>
        <v>#REF!</v>
      </c>
      <c r="AP45" t="e">
        <f>AND(#REF!,"AAAAAH477yk=")</f>
        <v>#REF!</v>
      </c>
      <c r="AQ45" t="e">
        <f>AND(#REF!,"AAAAAH477yo=")</f>
        <v>#REF!</v>
      </c>
      <c r="AR45" t="e">
        <f>AND(#REF!,"AAAAAH477ys=")</f>
        <v>#REF!</v>
      </c>
      <c r="AS45" t="e">
        <f>AND(#REF!,"AAAAAH477yw=")</f>
        <v>#REF!</v>
      </c>
      <c r="AT45" t="e">
        <f>AND(#REF!,"AAAAAH477y0=")</f>
        <v>#REF!</v>
      </c>
      <c r="AU45" t="e">
        <f>AND(#REF!,"AAAAAH477y4=")</f>
        <v>#REF!</v>
      </c>
      <c r="AV45" t="e">
        <f>AND(#REF!,"AAAAAH477y8=")</f>
        <v>#REF!</v>
      </c>
      <c r="AW45" t="e">
        <f>AND(#REF!,"AAAAAH477zA=")</f>
        <v>#REF!</v>
      </c>
      <c r="AX45" t="e">
        <f>AND(#REF!,"AAAAAH477zE=")</f>
        <v>#REF!</v>
      </c>
      <c r="AY45" t="e">
        <f>AND(#REF!,"AAAAAH477zI=")</f>
        <v>#REF!</v>
      </c>
      <c r="AZ45" t="e">
        <f>AND(#REF!,"AAAAAH477zM=")</f>
        <v>#REF!</v>
      </c>
      <c r="BA45" t="e">
        <f>AND(#REF!,"AAAAAH477zQ=")</f>
        <v>#REF!</v>
      </c>
      <c r="BB45" t="e">
        <f>AND(#REF!,"AAAAAH477zU=")</f>
        <v>#REF!</v>
      </c>
      <c r="BC45" t="e">
        <f>AND(#REF!,"AAAAAH477zY=")</f>
        <v>#REF!</v>
      </c>
      <c r="BD45" t="e">
        <f>AND(#REF!,"AAAAAH477zc=")</f>
        <v>#REF!</v>
      </c>
      <c r="BE45" t="e">
        <f>AND(#REF!,"AAAAAH477zg=")</f>
        <v>#REF!</v>
      </c>
      <c r="BF45" t="e">
        <f>AND(#REF!,"AAAAAH477zk=")</f>
        <v>#REF!</v>
      </c>
      <c r="BG45" t="e">
        <f>AND(#REF!,"AAAAAH477zo=")</f>
        <v>#REF!</v>
      </c>
      <c r="BH45" t="e">
        <f>AND(#REF!,"AAAAAH477zs=")</f>
        <v>#REF!</v>
      </c>
      <c r="BI45" t="e">
        <f>AND(#REF!,"AAAAAH477zw=")</f>
        <v>#REF!</v>
      </c>
      <c r="BJ45" t="e">
        <f>AND(#REF!,"AAAAAH477z0=")</f>
        <v>#REF!</v>
      </c>
      <c r="BK45" t="e">
        <f>AND(#REF!,"AAAAAH477z4=")</f>
        <v>#REF!</v>
      </c>
      <c r="BL45" t="e">
        <f>AND(#REF!,"AAAAAH477z8=")</f>
        <v>#REF!</v>
      </c>
      <c r="BM45" t="e">
        <f>AND(#REF!,"AAAAAH4770A=")</f>
        <v>#REF!</v>
      </c>
      <c r="BN45" t="e">
        <f>AND(#REF!,"AAAAAH4770E=")</f>
        <v>#REF!</v>
      </c>
      <c r="BO45" t="e">
        <f>AND(#REF!,"AAAAAH4770I=")</f>
        <v>#REF!</v>
      </c>
      <c r="BP45" t="e">
        <f>AND(#REF!,"AAAAAH4770M=")</f>
        <v>#REF!</v>
      </c>
      <c r="BQ45" t="e">
        <f>AND(#REF!,"AAAAAH4770Q=")</f>
        <v>#REF!</v>
      </c>
      <c r="BR45" t="e">
        <f>AND(#REF!,"AAAAAH4770U=")</f>
        <v>#REF!</v>
      </c>
      <c r="BS45" t="e">
        <f>AND(#REF!,"AAAAAH4770Y=")</f>
        <v>#REF!</v>
      </c>
      <c r="BT45" t="e">
        <f>AND(#REF!,"AAAAAH4770c=")</f>
        <v>#REF!</v>
      </c>
      <c r="BU45" t="e">
        <f>AND(#REF!,"AAAAAH4770g=")</f>
        <v>#REF!</v>
      </c>
      <c r="BV45" t="e">
        <f>AND(#REF!,"AAAAAH4770k=")</f>
        <v>#REF!</v>
      </c>
      <c r="BW45" t="e">
        <f>AND(#REF!,"AAAAAH4770o=")</f>
        <v>#REF!</v>
      </c>
      <c r="BX45" t="e">
        <f>AND(#REF!,"AAAAAH4770s=")</f>
        <v>#REF!</v>
      </c>
      <c r="BY45" t="e">
        <f>AND(#REF!,"AAAAAH4770w=")</f>
        <v>#REF!</v>
      </c>
      <c r="BZ45" t="e">
        <f>AND(#REF!,"AAAAAH47700=")</f>
        <v>#REF!</v>
      </c>
      <c r="CA45" t="e">
        <f>AND(#REF!,"AAAAAH47704=")</f>
        <v>#REF!</v>
      </c>
      <c r="CB45" t="e">
        <f>AND(#REF!,"AAAAAH47708=")</f>
        <v>#REF!</v>
      </c>
      <c r="CC45" t="e">
        <f>AND(#REF!,"AAAAAH4771A=")</f>
        <v>#REF!</v>
      </c>
      <c r="CD45" t="e">
        <f>AND(#REF!,"AAAAAH4771E=")</f>
        <v>#REF!</v>
      </c>
      <c r="CE45" t="e">
        <f>AND(#REF!,"AAAAAH4771I=")</f>
        <v>#REF!</v>
      </c>
      <c r="CF45" t="e">
        <f>AND(#REF!,"AAAAAH4771M=")</f>
        <v>#REF!</v>
      </c>
      <c r="CG45" t="e">
        <f>AND(#REF!,"AAAAAH4771Q=")</f>
        <v>#REF!</v>
      </c>
      <c r="CH45" t="e">
        <f>AND(#REF!,"AAAAAH4771U=")</f>
        <v>#REF!</v>
      </c>
      <c r="CI45" t="e">
        <f>AND(#REF!,"AAAAAH4771Y=")</f>
        <v>#REF!</v>
      </c>
      <c r="CJ45" t="e">
        <f>AND(#REF!,"AAAAAH4771c=")</f>
        <v>#REF!</v>
      </c>
      <c r="CK45" t="e">
        <f>AND(#REF!,"AAAAAH4771g=")</f>
        <v>#REF!</v>
      </c>
      <c r="CL45" t="e">
        <f>AND(#REF!,"AAAAAH4771k=")</f>
        <v>#REF!</v>
      </c>
      <c r="CM45" t="e">
        <f>AND(#REF!,"AAAAAH4771o=")</f>
        <v>#REF!</v>
      </c>
      <c r="CN45" t="e">
        <f>AND(#REF!,"AAAAAH4771s=")</f>
        <v>#REF!</v>
      </c>
      <c r="CO45" t="e">
        <f>AND(#REF!,"AAAAAH4771w=")</f>
        <v>#REF!</v>
      </c>
      <c r="CP45" t="e">
        <f>AND(#REF!,"AAAAAH47710=")</f>
        <v>#REF!</v>
      </c>
      <c r="CQ45" t="e">
        <f>AND(#REF!,"AAAAAH47714=")</f>
        <v>#REF!</v>
      </c>
      <c r="CR45" t="e">
        <f>AND(#REF!,"AAAAAH47718=")</f>
        <v>#REF!</v>
      </c>
      <c r="CS45" t="e">
        <f>AND(#REF!,"AAAAAH4772A=")</f>
        <v>#REF!</v>
      </c>
      <c r="CT45" t="e">
        <f>AND(#REF!,"AAAAAH4772E=")</f>
        <v>#REF!</v>
      </c>
      <c r="CU45" t="e">
        <f>AND(#REF!,"AAAAAH4772I=")</f>
        <v>#REF!</v>
      </c>
      <c r="CV45" t="e">
        <f>AND(#REF!,"AAAAAH4772M=")</f>
        <v>#REF!</v>
      </c>
      <c r="CW45" t="e">
        <f>AND(#REF!,"AAAAAH4772Q=")</f>
        <v>#REF!</v>
      </c>
      <c r="CX45" t="e">
        <f>AND(#REF!,"AAAAAH4772U=")</f>
        <v>#REF!</v>
      </c>
      <c r="CY45" t="e">
        <f>AND(#REF!,"AAAAAH4772Y=")</f>
        <v>#REF!</v>
      </c>
      <c r="CZ45" t="e">
        <f>AND(#REF!,"AAAAAH4772c=")</f>
        <v>#REF!</v>
      </c>
      <c r="DA45" t="e">
        <f>AND(#REF!,"AAAAAH4772g=")</f>
        <v>#REF!</v>
      </c>
      <c r="DB45" t="e">
        <f>AND(#REF!,"AAAAAH4772k=")</f>
        <v>#REF!</v>
      </c>
      <c r="DC45" t="e">
        <f>AND(#REF!,"AAAAAH4772o=")</f>
        <v>#REF!</v>
      </c>
      <c r="DD45" t="e">
        <f>AND(#REF!,"AAAAAH4772s=")</f>
        <v>#REF!</v>
      </c>
      <c r="DE45" t="e">
        <f>AND(#REF!,"AAAAAH4772w=")</f>
        <v>#REF!</v>
      </c>
      <c r="DF45" t="e">
        <f>AND(#REF!,"AAAAAH47720=")</f>
        <v>#REF!</v>
      </c>
      <c r="DG45" t="e">
        <f>AND(#REF!,"AAAAAH47724=")</f>
        <v>#REF!</v>
      </c>
      <c r="DH45" t="e">
        <f>AND(#REF!,"AAAAAH47728=")</f>
        <v>#REF!</v>
      </c>
      <c r="DI45" t="e">
        <f>AND(#REF!,"AAAAAH4773A=")</f>
        <v>#REF!</v>
      </c>
      <c r="DJ45" t="e">
        <f>AND(#REF!,"AAAAAH4773E=")</f>
        <v>#REF!</v>
      </c>
      <c r="DK45" t="e">
        <f>AND(#REF!,"AAAAAH4773I=")</f>
        <v>#REF!</v>
      </c>
      <c r="DL45" t="e">
        <f>AND(#REF!,"AAAAAH4773M=")</f>
        <v>#REF!</v>
      </c>
      <c r="DM45" t="e">
        <f>AND(#REF!,"AAAAAH4773Q=")</f>
        <v>#REF!</v>
      </c>
      <c r="DN45" t="e">
        <f>AND(#REF!,"AAAAAH4773U=")</f>
        <v>#REF!</v>
      </c>
      <c r="DO45" t="e">
        <f>AND(#REF!,"AAAAAH4773Y=")</f>
        <v>#REF!</v>
      </c>
      <c r="DP45" t="e">
        <f>AND(#REF!,"AAAAAH4773c=")</f>
        <v>#REF!</v>
      </c>
      <c r="DQ45" t="e">
        <f>AND(#REF!,"AAAAAH4773g=")</f>
        <v>#REF!</v>
      </c>
      <c r="DR45" t="e">
        <f>AND(#REF!,"AAAAAH4773k=")</f>
        <v>#REF!</v>
      </c>
      <c r="DS45" t="e">
        <f>AND(#REF!,"AAAAAH4773o=")</f>
        <v>#REF!</v>
      </c>
      <c r="DT45" t="e">
        <f>AND(#REF!,"AAAAAH4773s=")</f>
        <v>#REF!</v>
      </c>
      <c r="DU45" t="e">
        <f>AND(#REF!,"AAAAAH4773w=")</f>
        <v>#REF!</v>
      </c>
      <c r="DV45" t="e">
        <f>AND(#REF!,"AAAAAH47730=")</f>
        <v>#REF!</v>
      </c>
      <c r="DW45" t="e">
        <f>AND(#REF!,"AAAAAH47734=")</f>
        <v>#REF!</v>
      </c>
      <c r="DX45" t="e">
        <f>AND(#REF!,"AAAAAH47738=")</f>
        <v>#REF!</v>
      </c>
      <c r="DY45" t="e">
        <f>AND(#REF!,"AAAAAH4774A=")</f>
        <v>#REF!</v>
      </c>
      <c r="DZ45" t="e">
        <f>AND(#REF!,"AAAAAH4774E=")</f>
        <v>#REF!</v>
      </c>
      <c r="EA45" t="e">
        <f>AND(#REF!,"AAAAAH4774I=")</f>
        <v>#REF!</v>
      </c>
      <c r="EB45" t="e">
        <f>AND(#REF!,"AAAAAH4774M=")</f>
        <v>#REF!</v>
      </c>
      <c r="EC45" t="e">
        <f>AND(#REF!,"AAAAAH4774Q=")</f>
        <v>#REF!</v>
      </c>
      <c r="ED45" t="e">
        <f>AND(#REF!,"AAAAAH4774U=")</f>
        <v>#REF!</v>
      </c>
      <c r="EE45" t="e">
        <f>AND(#REF!,"AAAAAH4774Y=")</f>
        <v>#REF!</v>
      </c>
      <c r="EF45" t="e">
        <f>AND(#REF!,"AAAAAH4774c=")</f>
        <v>#REF!</v>
      </c>
      <c r="EG45" t="e">
        <f>AND(#REF!,"AAAAAH4774g=")</f>
        <v>#REF!</v>
      </c>
      <c r="EH45" t="e">
        <f>AND(#REF!,"AAAAAH4774k=")</f>
        <v>#REF!</v>
      </c>
      <c r="EI45" t="e">
        <f>AND(#REF!,"AAAAAH4774o=")</f>
        <v>#REF!</v>
      </c>
      <c r="EJ45" t="e">
        <f>AND(#REF!,"AAAAAH4774s=")</f>
        <v>#REF!</v>
      </c>
      <c r="EK45" t="e">
        <f>AND(#REF!,"AAAAAH4774w=")</f>
        <v>#REF!</v>
      </c>
      <c r="EL45" t="e">
        <f>AND(#REF!,"AAAAAH47740=")</f>
        <v>#REF!</v>
      </c>
      <c r="EM45" t="e">
        <f>AND(#REF!,"AAAAAH47744=")</f>
        <v>#REF!</v>
      </c>
      <c r="EN45" t="e">
        <f>AND(#REF!,"AAAAAH47748=")</f>
        <v>#REF!</v>
      </c>
      <c r="EO45" t="e">
        <f>AND(#REF!,"AAAAAH4775A=")</f>
        <v>#REF!</v>
      </c>
      <c r="EP45" t="e">
        <f>AND(#REF!,"AAAAAH4775E=")</f>
        <v>#REF!</v>
      </c>
      <c r="EQ45" t="e">
        <f>AND(#REF!,"AAAAAH4775I=")</f>
        <v>#REF!</v>
      </c>
      <c r="ER45" t="e">
        <f>AND(#REF!,"AAAAAH4775M=")</f>
        <v>#REF!</v>
      </c>
      <c r="ES45" t="e">
        <f>AND(#REF!,"AAAAAH4775Q=")</f>
        <v>#REF!</v>
      </c>
      <c r="ET45" t="e">
        <f>AND(#REF!,"AAAAAH4775U=")</f>
        <v>#REF!</v>
      </c>
      <c r="EU45" t="e">
        <f>AND(#REF!,"AAAAAH4775Y=")</f>
        <v>#REF!</v>
      </c>
      <c r="EV45" t="e">
        <f>AND(#REF!,"AAAAAH4775c=")</f>
        <v>#REF!</v>
      </c>
      <c r="EW45" t="e">
        <f>AND(#REF!,"AAAAAH4775g=")</f>
        <v>#REF!</v>
      </c>
      <c r="EX45" t="e">
        <f>AND(#REF!,"AAAAAH4775k=")</f>
        <v>#REF!</v>
      </c>
      <c r="EY45" t="e">
        <f>AND(#REF!,"AAAAAH4775o=")</f>
        <v>#REF!</v>
      </c>
      <c r="EZ45" t="e">
        <f>AND(#REF!,"AAAAAH4775s=")</f>
        <v>#REF!</v>
      </c>
      <c r="FA45" t="e">
        <f>AND(#REF!,"AAAAAH4775w=")</f>
        <v>#REF!</v>
      </c>
      <c r="FB45" t="e">
        <f>AND(#REF!,"AAAAAH47750=")</f>
        <v>#REF!</v>
      </c>
      <c r="FC45" t="e">
        <f>AND(#REF!,"AAAAAH47754=")</f>
        <v>#REF!</v>
      </c>
      <c r="FD45" t="e">
        <f>IF(#REF!,"AAAAAH47758=",0)</f>
        <v>#REF!</v>
      </c>
      <c r="FE45" t="e">
        <f>AND(#REF!,"AAAAAH4776A=")</f>
        <v>#REF!</v>
      </c>
      <c r="FF45" t="e">
        <f>AND(#REF!,"AAAAAH4776E=")</f>
        <v>#REF!</v>
      </c>
      <c r="FG45" t="e">
        <f>AND(#REF!,"AAAAAH4776I=")</f>
        <v>#REF!</v>
      </c>
      <c r="FH45" t="e">
        <f>AND(#REF!,"AAAAAH4776M=")</f>
        <v>#REF!</v>
      </c>
      <c r="FI45" t="e">
        <f>AND(#REF!,"AAAAAH4776Q=")</f>
        <v>#REF!</v>
      </c>
      <c r="FJ45" t="e">
        <f>AND(#REF!,"AAAAAH4776U=")</f>
        <v>#REF!</v>
      </c>
      <c r="FK45" t="e">
        <f>AND(#REF!,"AAAAAH4776Y=")</f>
        <v>#REF!</v>
      </c>
      <c r="FL45" t="e">
        <f>AND(#REF!,"AAAAAH4776c=")</f>
        <v>#REF!</v>
      </c>
      <c r="FM45" t="e">
        <f>AND(#REF!,"AAAAAH4776g=")</f>
        <v>#REF!</v>
      </c>
      <c r="FN45" t="e">
        <f>AND(#REF!,"AAAAAH4776k=")</f>
        <v>#REF!</v>
      </c>
      <c r="FO45" t="e">
        <f>AND(#REF!,"AAAAAH4776o=")</f>
        <v>#REF!</v>
      </c>
      <c r="FP45" t="e">
        <f>AND(#REF!,"AAAAAH4776s=")</f>
        <v>#REF!</v>
      </c>
      <c r="FQ45" t="e">
        <f>AND(#REF!,"AAAAAH4776w=")</f>
        <v>#REF!</v>
      </c>
      <c r="FR45" t="e">
        <f>AND(#REF!,"AAAAAH47760=")</f>
        <v>#REF!</v>
      </c>
      <c r="FS45" t="e">
        <f>AND(#REF!,"AAAAAH47764=")</f>
        <v>#REF!</v>
      </c>
      <c r="FT45" t="e">
        <f>AND(#REF!,"AAAAAH47768=")</f>
        <v>#REF!</v>
      </c>
      <c r="FU45" t="e">
        <f>AND(#REF!,"AAAAAH4777A=")</f>
        <v>#REF!</v>
      </c>
      <c r="FV45" t="e">
        <f>AND(#REF!,"AAAAAH4777E=")</f>
        <v>#REF!</v>
      </c>
      <c r="FW45" t="e">
        <f>AND(#REF!,"AAAAAH4777I=")</f>
        <v>#REF!</v>
      </c>
      <c r="FX45" t="e">
        <f>AND(#REF!,"AAAAAH4777M=")</f>
        <v>#REF!</v>
      </c>
      <c r="FY45" t="e">
        <f>AND(#REF!,"AAAAAH4777Q=")</f>
        <v>#REF!</v>
      </c>
      <c r="FZ45" t="e">
        <f>AND(#REF!,"AAAAAH4777U=")</f>
        <v>#REF!</v>
      </c>
      <c r="GA45" t="e">
        <f>AND(#REF!,"AAAAAH4777Y=")</f>
        <v>#REF!</v>
      </c>
      <c r="GB45" t="e">
        <f>AND(#REF!,"AAAAAH4777c=")</f>
        <v>#REF!</v>
      </c>
      <c r="GC45" t="e">
        <f>AND(#REF!,"AAAAAH4777g=")</f>
        <v>#REF!</v>
      </c>
      <c r="GD45" t="e">
        <f>AND(#REF!,"AAAAAH4777k=")</f>
        <v>#REF!</v>
      </c>
      <c r="GE45" t="e">
        <f>AND(#REF!,"AAAAAH4777o=")</f>
        <v>#REF!</v>
      </c>
      <c r="GF45" t="e">
        <f>AND(#REF!,"AAAAAH4777s=")</f>
        <v>#REF!</v>
      </c>
      <c r="GG45" t="e">
        <f>AND(#REF!,"AAAAAH4777w=")</f>
        <v>#REF!</v>
      </c>
      <c r="GH45" t="e">
        <f>AND(#REF!,"AAAAAH47770=")</f>
        <v>#REF!</v>
      </c>
      <c r="GI45" t="e">
        <f>AND(#REF!,"AAAAAH47774=")</f>
        <v>#REF!</v>
      </c>
      <c r="GJ45" t="e">
        <f>AND(#REF!,"AAAAAH47778=")</f>
        <v>#REF!</v>
      </c>
      <c r="GK45" t="e">
        <f>AND(#REF!,"AAAAAH4778A=")</f>
        <v>#REF!</v>
      </c>
      <c r="GL45" t="e">
        <f>AND(#REF!,"AAAAAH4778E=")</f>
        <v>#REF!</v>
      </c>
      <c r="GM45" t="e">
        <f>AND(#REF!,"AAAAAH4778I=")</f>
        <v>#REF!</v>
      </c>
      <c r="GN45" t="e">
        <f>AND(#REF!,"AAAAAH4778M=")</f>
        <v>#REF!</v>
      </c>
      <c r="GO45" t="e">
        <f>AND(#REF!,"AAAAAH4778Q=")</f>
        <v>#REF!</v>
      </c>
      <c r="GP45" t="e">
        <f>AND(#REF!,"AAAAAH4778U=")</f>
        <v>#REF!</v>
      </c>
      <c r="GQ45" t="e">
        <f>AND(#REF!,"AAAAAH4778Y=")</f>
        <v>#REF!</v>
      </c>
      <c r="GR45" t="e">
        <f>AND(#REF!,"AAAAAH4778c=")</f>
        <v>#REF!</v>
      </c>
      <c r="GS45" t="e">
        <f>AND(#REF!,"AAAAAH4778g=")</f>
        <v>#REF!</v>
      </c>
      <c r="GT45" t="e">
        <f>AND(#REF!,"AAAAAH4778k=")</f>
        <v>#REF!</v>
      </c>
      <c r="GU45" t="e">
        <f>AND(#REF!,"AAAAAH4778o=")</f>
        <v>#REF!</v>
      </c>
      <c r="GV45" t="e">
        <f>AND(#REF!,"AAAAAH4778s=")</f>
        <v>#REF!</v>
      </c>
      <c r="GW45" t="e">
        <f>AND(#REF!,"AAAAAH4778w=")</f>
        <v>#REF!</v>
      </c>
      <c r="GX45" t="e">
        <f>AND(#REF!,"AAAAAH47780=")</f>
        <v>#REF!</v>
      </c>
      <c r="GY45" t="e">
        <f>AND(#REF!,"AAAAAH47784=")</f>
        <v>#REF!</v>
      </c>
      <c r="GZ45" t="e">
        <f>AND(#REF!,"AAAAAH47788=")</f>
        <v>#REF!</v>
      </c>
      <c r="HA45" t="e">
        <f>AND(#REF!,"AAAAAH4779A=")</f>
        <v>#REF!</v>
      </c>
      <c r="HB45" t="e">
        <f>AND(#REF!,"AAAAAH4779E=")</f>
        <v>#REF!</v>
      </c>
      <c r="HC45" t="e">
        <f>AND(#REF!,"AAAAAH4779I=")</f>
        <v>#REF!</v>
      </c>
      <c r="HD45" t="e">
        <f>AND(#REF!,"AAAAAH4779M=")</f>
        <v>#REF!</v>
      </c>
      <c r="HE45" t="e">
        <f>AND(#REF!,"AAAAAH4779Q=")</f>
        <v>#REF!</v>
      </c>
      <c r="HF45" t="e">
        <f>AND(#REF!,"AAAAAH4779U=")</f>
        <v>#REF!</v>
      </c>
      <c r="HG45" t="e">
        <f>AND(#REF!,"AAAAAH4779Y=")</f>
        <v>#REF!</v>
      </c>
      <c r="HH45" t="e">
        <f>AND(#REF!,"AAAAAH4779c=")</f>
        <v>#REF!</v>
      </c>
      <c r="HI45" t="e">
        <f>AND(#REF!,"AAAAAH4779g=")</f>
        <v>#REF!</v>
      </c>
      <c r="HJ45" t="e">
        <f>AND(#REF!,"AAAAAH4779k=")</f>
        <v>#REF!</v>
      </c>
      <c r="HK45" t="e">
        <f>AND(#REF!,"AAAAAH4779o=")</f>
        <v>#REF!</v>
      </c>
      <c r="HL45" t="e">
        <f>AND(#REF!,"AAAAAH4779s=")</f>
        <v>#REF!</v>
      </c>
      <c r="HM45" t="e">
        <f>AND(#REF!,"AAAAAH4779w=")</f>
        <v>#REF!</v>
      </c>
      <c r="HN45" t="e">
        <f>AND(#REF!,"AAAAAH47790=")</f>
        <v>#REF!</v>
      </c>
      <c r="HO45" t="e">
        <f>AND(#REF!,"AAAAAH47794=")</f>
        <v>#REF!</v>
      </c>
      <c r="HP45" t="e">
        <f>AND(#REF!,"AAAAAH47798=")</f>
        <v>#REF!</v>
      </c>
      <c r="HQ45" t="e">
        <f>AND(#REF!,"AAAAAH477+A=")</f>
        <v>#REF!</v>
      </c>
      <c r="HR45" t="e">
        <f>AND(#REF!,"AAAAAH477+E=")</f>
        <v>#REF!</v>
      </c>
      <c r="HS45" t="e">
        <f>AND(#REF!,"AAAAAH477+I=")</f>
        <v>#REF!</v>
      </c>
      <c r="HT45" t="e">
        <f>AND(#REF!,"AAAAAH477+M=")</f>
        <v>#REF!</v>
      </c>
      <c r="HU45" t="e">
        <f>AND(#REF!,"AAAAAH477+Q=")</f>
        <v>#REF!</v>
      </c>
      <c r="HV45" t="e">
        <f>AND(#REF!,"AAAAAH477+U=")</f>
        <v>#REF!</v>
      </c>
      <c r="HW45" t="e">
        <f>AND(#REF!,"AAAAAH477+Y=")</f>
        <v>#REF!</v>
      </c>
      <c r="HX45" t="e">
        <f>AND(#REF!,"AAAAAH477+c=")</f>
        <v>#REF!</v>
      </c>
      <c r="HY45" t="e">
        <f>AND(#REF!,"AAAAAH477+g=")</f>
        <v>#REF!</v>
      </c>
      <c r="HZ45" t="e">
        <f>AND(#REF!,"AAAAAH477+k=")</f>
        <v>#REF!</v>
      </c>
      <c r="IA45" t="e">
        <f>AND(#REF!,"AAAAAH477+o=")</f>
        <v>#REF!</v>
      </c>
      <c r="IB45" t="e">
        <f>AND(#REF!,"AAAAAH477+s=")</f>
        <v>#REF!</v>
      </c>
      <c r="IC45" t="e">
        <f>AND(#REF!,"AAAAAH477+w=")</f>
        <v>#REF!</v>
      </c>
      <c r="ID45" t="e">
        <f>AND(#REF!,"AAAAAH477+0=")</f>
        <v>#REF!</v>
      </c>
      <c r="IE45" t="e">
        <f>AND(#REF!,"AAAAAH477+4=")</f>
        <v>#REF!</v>
      </c>
      <c r="IF45" t="e">
        <f>AND(#REF!,"AAAAAH477+8=")</f>
        <v>#REF!</v>
      </c>
      <c r="IG45" t="e">
        <f>AND(#REF!,"AAAAAH477/A=")</f>
        <v>#REF!</v>
      </c>
      <c r="IH45" t="e">
        <f>AND(#REF!,"AAAAAH477/E=")</f>
        <v>#REF!</v>
      </c>
      <c r="II45" t="e">
        <f>AND(#REF!,"AAAAAH477/I=")</f>
        <v>#REF!</v>
      </c>
      <c r="IJ45" t="e">
        <f>AND(#REF!,"AAAAAH477/M=")</f>
        <v>#REF!</v>
      </c>
      <c r="IK45" t="e">
        <f>AND(#REF!,"AAAAAH477/Q=")</f>
        <v>#REF!</v>
      </c>
      <c r="IL45" t="e">
        <f>AND(#REF!,"AAAAAH477/U=")</f>
        <v>#REF!</v>
      </c>
      <c r="IM45" t="e">
        <f>AND(#REF!,"AAAAAH477/Y=")</f>
        <v>#REF!</v>
      </c>
      <c r="IN45" t="e">
        <f>AND(#REF!,"AAAAAH477/c=")</f>
        <v>#REF!</v>
      </c>
      <c r="IO45" t="e">
        <f>AND(#REF!,"AAAAAH477/g=")</f>
        <v>#REF!</v>
      </c>
      <c r="IP45" t="e">
        <f>AND(#REF!,"AAAAAH477/k=")</f>
        <v>#REF!</v>
      </c>
      <c r="IQ45" t="e">
        <f>AND(#REF!,"AAAAAH477/o=")</f>
        <v>#REF!</v>
      </c>
      <c r="IR45" t="e">
        <f>AND(#REF!,"AAAAAH477/s=")</f>
        <v>#REF!</v>
      </c>
      <c r="IS45" t="e">
        <f>AND(#REF!,"AAAAAH477/w=")</f>
        <v>#REF!</v>
      </c>
      <c r="IT45" t="e">
        <f>AND(#REF!,"AAAAAH477/0=")</f>
        <v>#REF!</v>
      </c>
      <c r="IU45" t="e">
        <f>AND(#REF!,"AAAAAH477/4=")</f>
        <v>#REF!</v>
      </c>
      <c r="IV45" t="e">
        <f>AND(#REF!,"AAAAAH477/8=")</f>
        <v>#REF!</v>
      </c>
    </row>
    <row r="46" spans="1:256" ht="15">
      <c r="A46" t="e">
        <f>AND(#REF!,"AAAAAG/3/wA=")</f>
        <v>#REF!</v>
      </c>
      <c r="B46" t="e">
        <f>AND(#REF!,"AAAAAG/3/wE=")</f>
        <v>#REF!</v>
      </c>
      <c r="C46" t="e">
        <f>AND(#REF!,"AAAAAG/3/wI=")</f>
        <v>#REF!</v>
      </c>
      <c r="D46" t="e">
        <f>AND(#REF!,"AAAAAG/3/wM=")</f>
        <v>#REF!</v>
      </c>
      <c r="E46" t="e">
        <f>AND(#REF!,"AAAAAG/3/wQ=")</f>
        <v>#REF!</v>
      </c>
      <c r="F46" t="e">
        <f>AND(#REF!,"AAAAAG/3/wU=")</f>
        <v>#REF!</v>
      </c>
      <c r="G46" t="e">
        <f>AND(#REF!,"AAAAAG/3/wY=")</f>
        <v>#REF!</v>
      </c>
      <c r="H46" t="e">
        <f>AND(#REF!,"AAAAAG/3/wc=")</f>
        <v>#REF!</v>
      </c>
      <c r="I46" t="e">
        <f>AND(#REF!,"AAAAAG/3/wg=")</f>
        <v>#REF!</v>
      </c>
      <c r="J46" t="e">
        <f>AND(#REF!,"AAAAAG/3/wk=")</f>
        <v>#REF!</v>
      </c>
      <c r="K46" t="e">
        <f>AND(#REF!,"AAAAAG/3/wo=")</f>
        <v>#REF!</v>
      </c>
      <c r="L46" t="e">
        <f>AND(#REF!,"AAAAAG/3/ws=")</f>
        <v>#REF!</v>
      </c>
      <c r="M46" t="e">
        <f>AND(#REF!,"AAAAAG/3/ww=")</f>
        <v>#REF!</v>
      </c>
      <c r="N46" t="e">
        <f>AND(#REF!,"AAAAAG/3/w0=")</f>
        <v>#REF!</v>
      </c>
      <c r="O46" t="e">
        <f>AND(#REF!,"AAAAAG/3/w4=")</f>
        <v>#REF!</v>
      </c>
      <c r="P46" t="e">
        <f>AND(#REF!,"AAAAAG/3/w8=")</f>
        <v>#REF!</v>
      </c>
      <c r="Q46" t="e">
        <f>AND(#REF!,"AAAAAG/3/xA=")</f>
        <v>#REF!</v>
      </c>
      <c r="R46" t="e">
        <f>AND(#REF!,"AAAAAG/3/xE=")</f>
        <v>#REF!</v>
      </c>
      <c r="S46" t="e">
        <f>AND(#REF!,"AAAAAG/3/xI=")</f>
        <v>#REF!</v>
      </c>
      <c r="T46" t="e">
        <f>AND(#REF!,"AAAAAG/3/xM=")</f>
        <v>#REF!</v>
      </c>
      <c r="U46" t="e">
        <f>AND(#REF!,"AAAAAG/3/xQ=")</f>
        <v>#REF!</v>
      </c>
      <c r="V46" t="e">
        <f>AND(#REF!,"AAAAAG/3/xU=")</f>
        <v>#REF!</v>
      </c>
      <c r="W46" t="e">
        <f>AND(#REF!,"AAAAAG/3/xY=")</f>
        <v>#REF!</v>
      </c>
      <c r="X46" t="e">
        <f>AND(#REF!,"AAAAAG/3/xc=")</f>
        <v>#REF!</v>
      </c>
      <c r="Y46" t="e">
        <f>AND(#REF!,"AAAAAG/3/xg=")</f>
        <v>#REF!</v>
      </c>
      <c r="Z46" t="e">
        <f>AND(#REF!,"AAAAAG/3/xk=")</f>
        <v>#REF!</v>
      </c>
      <c r="AA46" t="e">
        <f>AND(#REF!,"AAAAAG/3/xo=")</f>
        <v>#REF!</v>
      </c>
      <c r="AB46" t="e">
        <f>AND(#REF!,"AAAAAG/3/xs=")</f>
        <v>#REF!</v>
      </c>
      <c r="AC46" t="e">
        <f>AND(#REF!,"AAAAAG/3/xw=")</f>
        <v>#REF!</v>
      </c>
      <c r="AD46" t="e">
        <f>AND(#REF!,"AAAAAG/3/x0=")</f>
        <v>#REF!</v>
      </c>
      <c r="AE46" t="e">
        <f>AND(#REF!,"AAAAAG/3/x4=")</f>
        <v>#REF!</v>
      </c>
      <c r="AF46" t="e">
        <f>AND(#REF!,"AAAAAG/3/x8=")</f>
        <v>#REF!</v>
      </c>
      <c r="AG46" t="e">
        <f>AND(#REF!,"AAAAAG/3/yA=")</f>
        <v>#REF!</v>
      </c>
      <c r="AH46" t="e">
        <f>AND(#REF!,"AAAAAG/3/yE=")</f>
        <v>#REF!</v>
      </c>
      <c r="AI46" t="e">
        <f>AND(#REF!,"AAAAAG/3/yI=")</f>
        <v>#REF!</v>
      </c>
      <c r="AJ46" t="e">
        <f>AND(#REF!,"AAAAAG/3/yM=")</f>
        <v>#REF!</v>
      </c>
      <c r="AK46" t="e">
        <f>AND(#REF!,"AAAAAG/3/yQ=")</f>
        <v>#REF!</v>
      </c>
      <c r="AL46" t="e">
        <f>AND(#REF!,"AAAAAG/3/yU=")</f>
        <v>#REF!</v>
      </c>
      <c r="AM46" t="e">
        <f>AND(#REF!,"AAAAAG/3/yY=")</f>
        <v>#REF!</v>
      </c>
      <c r="AN46" t="e">
        <f>IF(#REF!,"AAAAAG/3/yc=",0)</f>
        <v>#REF!</v>
      </c>
      <c r="AO46" t="e">
        <f>AND(#REF!,"AAAAAG/3/yg=")</f>
        <v>#REF!</v>
      </c>
      <c r="AP46" t="e">
        <f>AND(#REF!,"AAAAAG/3/yk=")</f>
        <v>#REF!</v>
      </c>
      <c r="AQ46" t="e">
        <f>AND(#REF!,"AAAAAG/3/yo=")</f>
        <v>#REF!</v>
      </c>
      <c r="AR46" t="e">
        <f>AND(#REF!,"AAAAAG/3/ys=")</f>
        <v>#REF!</v>
      </c>
      <c r="AS46" t="e">
        <f>AND(#REF!,"AAAAAG/3/yw=")</f>
        <v>#REF!</v>
      </c>
      <c r="AT46" t="e">
        <f>AND(#REF!,"AAAAAG/3/y0=")</f>
        <v>#REF!</v>
      </c>
      <c r="AU46" t="e">
        <f>AND(#REF!,"AAAAAG/3/y4=")</f>
        <v>#REF!</v>
      </c>
      <c r="AV46" t="e">
        <f>AND(#REF!,"AAAAAG/3/y8=")</f>
        <v>#REF!</v>
      </c>
      <c r="AW46" t="e">
        <f>AND(#REF!,"AAAAAG/3/zA=")</f>
        <v>#REF!</v>
      </c>
      <c r="AX46" t="e">
        <f>AND(#REF!,"AAAAAG/3/zE=")</f>
        <v>#REF!</v>
      </c>
      <c r="AY46" t="e">
        <f>AND(#REF!,"AAAAAG/3/zI=")</f>
        <v>#REF!</v>
      </c>
      <c r="AZ46" t="e">
        <f>AND(#REF!,"AAAAAG/3/zM=")</f>
        <v>#REF!</v>
      </c>
      <c r="BA46" t="e">
        <f>AND(#REF!,"AAAAAG/3/zQ=")</f>
        <v>#REF!</v>
      </c>
      <c r="BB46" t="e">
        <f>AND(#REF!,"AAAAAG/3/zU=")</f>
        <v>#REF!</v>
      </c>
      <c r="BC46" t="e">
        <f>AND(#REF!,"AAAAAG/3/zY=")</f>
        <v>#REF!</v>
      </c>
      <c r="BD46" t="e">
        <f>AND(#REF!,"AAAAAG/3/zc=")</f>
        <v>#REF!</v>
      </c>
      <c r="BE46" t="e">
        <f>AND(#REF!,"AAAAAG/3/zg=")</f>
        <v>#REF!</v>
      </c>
      <c r="BF46" t="e">
        <f>AND(#REF!,"AAAAAG/3/zk=")</f>
        <v>#REF!</v>
      </c>
      <c r="BG46" t="e">
        <f>AND(#REF!,"AAAAAG/3/zo=")</f>
        <v>#REF!</v>
      </c>
      <c r="BH46" t="e">
        <f>AND(#REF!,"AAAAAG/3/zs=")</f>
        <v>#REF!</v>
      </c>
      <c r="BI46" t="e">
        <f>AND(#REF!,"AAAAAG/3/zw=")</f>
        <v>#REF!</v>
      </c>
      <c r="BJ46" t="e">
        <f>AND(#REF!,"AAAAAG/3/z0=")</f>
        <v>#REF!</v>
      </c>
      <c r="BK46" t="e">
        <f>AND(#REF!,"AAAAAG/3/z4=")</f>
        <v>#REF!</v>
      </c>
      <c r="BL46" t="e">
        <f>AND(#REF!,"AAAAAG/3/z8=")</f>
        <v>#REF!</v>
      </c>
      <c r="BM46" t="e">
        <f>AND(#REF!,"AAAAAG/3/0A=")</f>
        <v>#REF!</v>
      </c>
      <c r="BN46" t="e">
        <f>AND(#REF!,"AAAAAG/3/0E=")</f>
        <v>#REF!</v>
      </c>
      <c r="BO46" t="e">
        <f>AND(#REF!,"AAAAAG/3/0I=")</f>
        <v>#REF!</v>
      </c>
      <c r="BP46" t="e">
        <f>AND(#REF!,"AAAAAG/3/0M=")</f>
        <v>#REF!</v>
      </c>
      <c r="BQ46" t="e">
        <f>AND(#REF!,"AAAAAG/3/0Q=")</f>
        <v>#REF!</v>
      </c>
      <c r="BR46" t="e">
        <f>AND(#REF!,"AAAAAG/3/0U=")</f>
        <v>#REF!</v>
      </c>
      <c r="BS46" t="e">
        <f>AND(#REF!,"AAAAAG/3/0Y=")</f>
        <v>#REF!</v>
      </c>
      <c r="BT46" t="e">
        <f>AND(#REF!,"AAAAAG/3/0c=")</f>
        <v>#REF!</v>
      </c>
      <c r="BU46" t="e">
        <f>AND(#REF!,"AAAAAG/3/0g=")</f>
        <v>#REF!</v>
      </c>
      <c r="BV46" t="e">
        <f>AND(#REF!,"AAAAAG/3/0k=")</f>
        <v>#REF!</v>
      </c>
      <c r="BW46" t="e">
        <f>AND(#REF!,"AAAAAG/3/0o=")</f>
        <v>#REF!</v>
      </c>
      <c r="BX46" t="e">
        <f>AND(#REF!,"AAAAAG/3/0s=")</f>
        <v>#REF!</v>
      </c>
      <c r="BY46" t="e">
        <f>AND(#REF!,"AAAAAG/3/0w=")</f>
        <v>#REF!</v>
      </c>
      <c r="BZ46" t="e">
        <f>AND(#REF!,"AAAAAG/3/00=")</f>
        <v>#REF!</v>
      </c>
      <c r="CA46" t="e">
        <f>AND(#REF!,"AAAAAG/3/04=")</f>
        <v>#REF!</v>
      </c>
      <c r="CB46" t="e">
        <f>AND(#REF!,"AAAAAG/3/08=")</f>
        <v>#REF!</v>
      </c>
      <c r="CC46" t="e">
        <f>AND(#REF!,"AAAAAG/3/1A=")</f>
        <v>#REF!</v>
      </c>
      <c r="CD46" t="e">
        <f>AND(#REF!,"AAAAAG/3/1E=")</f>
        <v>#REF!</v>
      </c>
      <c r="CE46" t="e">
        <f>AND(#REF!,"AAAAAG/3/1I=")</f>
        <v>#REF!</v>
      </c>
      <c r="CF46" t="e">
        <f>AND(#REF!,"AAAAAG/3/1M=")</f>
        <v>#REF!</v>
      </c>
      <c r="CG46" t="e">
        <f>AND(#REF!,"AAAAAG/3/1Q=")</f>
        <v>#REF!</v>
      </c>
      <c r="CH46" t="e">
        <f>AND(#REF!,"AAAAAG/3/1U=")</f>
        <v>#REF!</v>
      </c>
      <c r="CI46" t="e">
        <f>AND(#REF!,"AAAAAG/3/1Y=")</f>
        <v>#REF!</v>
      </c>
      <c r="CJ46" t="e">
        <f>AND(#REF!,"AAAAAG/3/1c=")</f>
        <v>#REF!</v>
      </c>
      <c r="CK46" t="e">
        <f>AND(#REF!,"AAAAAG/3/1g=")</f>
        <v>#REF!</v>
      </c>
      <c r="CL46" t="e">
        <f>AND(#REF!,"AAAAAG/3/1k=")</f>
        <v>#REF!</v>
      </c>
      <c r="CM46" t="e">
        <f>AND(#REF!,"AAAAAG/3/1o=")</f>
        <v>#REF!</v>
      </c>
      <c r="CN46" t="e">
        <f>AND(#REF!,"AAAAAG/3/1s=")</f>
        <v>#REF!</v>
      </c>
      <c r="CO46" t="e">
        <f>AND(#REF!,"AAAAAG/3/1w=")</f>
        <v>#REF!</v>
      </c>
      <c r="CP46" t="e">
        <f>AND(#REF!,"AAAAAG/3/10=")</f>
        <v>#REF!</v>
      </c>
      <c r="CQ46" t="e">
        <f>AND(#REF!,"AAAAAG/3/14=")</f>
        <v>#REF!</v>
      </c>
      <c r="CR46" t="e">
        <f>AND(#REF!,"AAAAAG/3/18=")</f>
        <v>#REF!</v>
      </c>
      <c r="CS46" t="e">
        <f>AND(#REF!,"AAAAAG/3/2A=")</f>
        <v>#REF!</v>
      </c>
      <c r="CT46" t="e">
        <f>AND(#REF!,"AAAAAG/3/2E=")</f>
        <v>#REF!</v>
      </c>
      <c r="CU46" t="e">
        <f>AND(#REF!,"AAAAAG/3/2I=")</f>
        <v>#REF!</v>
      </c>
      <c r="CV46" t="e">
        <f>AND(#REF!,"AAAAAG/3/2M=")</f>
        <v>#REF!</v>
      </c>
      <c r="CW46" t="e">
        <f>AND(#REF!,"AAAAAG/3/2Q=")</f>
        <v>#REF!</v>
      </c>
      <c r="CX46" t="e">
        <f>AND(#REF!,"AAAAAG/3/2U=")</f>
        <v>#REF!</v>
      </c>
      <c r="CY46" t="e">
        <f>AND(#REF!,"AAAAAG/3/2Y=")</f>
        <v>#REF!</v>
      </c>
      <c r="CZ46" t="e">
        <f>AND(#REF!,"AAAAAG/3/2c=")</f>
        <v>#REF!</v>
      </c>
      <c r="DA46" t="e">
        <f>AND(#REF!,"AAAAAG/3/2g=")</f>
        <v>#REF!</v>
      </c>
      <c r="DB46" t="e">
        <f>AND(#REF!,"AAAAAG/3/2k=")</f>
        <v>#REF!</v>
      </c>
      <c r="DC46" t="e">
        <f>AND(#REF!,"AAAAAG/3/2o=")</f>
        <v>#REF!</v>
      </c>
      <c r="DD46" t="e">
        <f>AND(#REF!,"AAAAAG/3/2s=")</f>
        <v>#REF!</v>
      </c>
      <c r="DE46" t="e">
        <f>AND(#REF!,"AAAAAG/3/2w=")</f>
        <v>#REF!</v>
      </c>
      <c r="DF46" t="e">
        <f>AND(#REF!,"AAAAAG/3/20=")</f>
        <v>#REF!</v>
      </c>
      <c r="DG46" t="e">
        <f>AND(#REF!,"AAAAAG/3/24=")</f>
        <v>#REF!</v>
      </c>
      <c r="DH46" t="e">
        <f>AND(#REF!,"AAAAAG/3/28=")</f>
        <v>#REF!</v>
      </c>
      <c r="DI46" t="e">
        <f>AND(#REF!,"AAAAAG/3/3A=")</f>
        <v>#REF!</v>
      </c>
      <c r="DJ46" t="e">
        <f>AND(#REF!,"AAAAAG/3/3E=")</f>
        <v>#REF!</v>
      </c>
      <c r="DK46" t="e">
        <f>AND(#REF!,"AAAAAG/3/3I=")</f>
        <v>#REF!</v>
      </c>
      <c r="DL46" t="e">
        <f>AND(#REF!,"AAAAAG/3/3M=")</f>
        <v>#REF!</v>
      </c>
      <c r="DM46" t="e">
        <f>AND(#REF!,"AAAAAG/3/3Q=")</f>
        <v>#REF!</v>
      </c>
      <c r="DN46" t="e">
        <f>AND(#REF!,"AAAAAG/3/3U=")</f>
        <v>#REF!</v>
      </c>
      <c r="DO46" t="e">
        <f>AND(#REF!,"AAAAAG/3/3Y=")</f>
        <v>#REF!</v>
      </c>
      <c r="DP46" t="e">
        <f>AND(#REF!,"AAAAAG/3/3c=")</f>
        <v>#REF!</v>
      </c>
      <c r="DQ46" t="e">
        <f>AND(#REF!,"AAAAAG/3/3g=")</f>
        <v>#REF!</v>
      </c>
      <c r="DR46" t="e">
        <f>AND(#REF!,"AAAAAG/3/3k=")</f>
        <v>#REF!</v>
      </c>
      <c r="DS46" t="e">
        <f>AND(#REF!,"AAAAAG/3/3o=")</f>
        <v>#REF!</v>
      </c>
      <c r="DT46" t="e">
        <f>AND(#REF!,"AAAAAG/3/3s=")</f>
        <v>#REF!</v>
      </c>
      <c r="DU46" t="e">
        <f>AND(#REF!,"AAAAAG/3/3w=")</f>
        <v>#REF!</v>
      </c>
      <c r="DV46" t="e">
        <f>AND(#REF!,"AAAAAG/3/30=")</f>
        <v>#REF!</v>
      </c>
      <c r="DW46" t="e">
        <f>AND(#REF!,"AAAAAG/3/34=")</f>
        <v>#REF!</v>
      </c>
      <c r="DX46" t="e">
        <f>AND(#REF!,"AAAAAG/3/38=")</f>
        <v>#REF!</v>
      </c>
      <c r="DY46" t="e">
        <f>AND(#REF!,"AAAAAG/3/4A=")</f>
        <v>#REF!</v>
      </c>
      <c r="DZ46" t="e">
        <f>AND(#REF!,"AAAAAG/3/4E=")</f>
        <v>#REF!</v>
      </c>
      <c r="EA46" t="e">
        <f>AND(#REF!,"AAAAAG/3/4I=")</f>
        <v>#REF!</v>
      </c>
      <c r="EB46" t="e">
        <f>AND(#REF!,"AAAAAG/3/4M=")</f>
        <v>#REF!</v>
      </c>
      <c r="EC46" t="e">
        <f>AND(#REF!,"AAAAAG/3/4Q=")</f>
        <v>#REF!</v>
      </c>
      <c r="ED46" t="e">
        <f>AND(#REF!,"AAAAAG/3/4U=")</f>
        <v>#REF!</v>
      </c>
      <c r="EE46" t="e">
        <f>AND(#REF!,"AAAAAG/3/4Y=")</f>
        <v>#REF!</v>
      </c>
      <c r="EF46" t="e">
        <f>AND(#REF!,"AAAAAG/3/4c=")</f>
        <v>#REF!</v>
      </c>
      <c r="EG46" t="e">
        <f>AND(#REF!,"AAAAAG/3/4g=")</f>
        <v>#REF!</v>
      </c>
      <c r="EH46" t="e">
        <f>AND(#REF!,"AAAAAG/3/4k=")</f>
        <v>#REF!</v>
      </c>
      <c r="EI46" t="e">
        <f>AND(#REF!,"AAAAAG/3/4o=")</f>
        <v>#REF!</v>
      </c>
      <c r="EJ46" t="e">
        <f>AND(#REF!,"AAAAAG/3/4s=")</f>
        <v>#REF!</v>
      </c>
      <c r="EK46" t="e">
        <f>AND(#REF!,"AAAAAG/3/4w=")</f>
        <v>#REF!</v>
      </c>
      <c r="EL46" t="e">
        <f>AND(#REF!,"AAAAAG/3/40=")</f>
        <v>#REF!</v>
      </c>
      <c r="EM46" t="e">
        <f>AND(#REF!,"AAAAAG/3/44=")</f>
        <v>#REF!</v>
      </c>
      <c r="EN46" t="e">
        <f>AND(#REF!,"AAAAAG/3/48=")</f>
        <v>#REF!</v>
      </c>
      <c r="EO46" t="e">
        <f>AND(#REF!,"AAAAAG/3/5A=")</f>
        <v>#REF!</v>
      </c>
      <c r="EP46" t="e">
        <f>AND(#REF!,"AAAAAG/3/5E=")</f>
        <v>#REF!</v>
      </c>
      <c r="EQ46" t="e">
        <f>AND(#REF!,"AAAAAG/3/5I=")</f>
        <v>#REF!</v>
      </c>
      <c r="ER46" t="e">
        <f>AND(#REF!,"AAAAAG/3/5M=")</f>
        <v>#REF!</v>
      </c>
      <c r="ES46" t="e">
        <f>AND(#REF!,"AAAAAG/3/5Q=")</f>
        <v>#REF!</v>
      </c>
      <c r="ET46" t="e">
        <f>AND(#REF!,"AAAAAG/3/5U=")</f>
        <v>#REF!</v>
      </c>
      <c r="EU46" t="e">
        <f>AND(#REF!,"AAAAAG/3/5Y=")</f>
        <v>#REF!</v>
      </c>
      <c r="EV46" t="e">
        <f>AND(#REF!,"AAAAAG/3/5c=")</f>
        <v>#REF!</v>
      </c>
      <c r="EW46" t="e">
        <f>AND(#REF!,"AAAAAG/3/5g=")</f>
        <v>#REF!</v>
      </c>
      <c r="EX46" t="e">
        <f>AND(#REF!,"AAAAAG/3/5k=")</f>
        <v>#REF!</v>
      </c>
      <c r="EY46" t="e">
        <f>AND(#REF!,"AAAAAG/3/5o=")</f>
        <v>#REF!</v>
      </c>
      <c r="EZ46" t="e">
        <f>AND(#REF!,"AAAAAG/3/5s=")</f>
        <v>#REF!</v>
      </c>
      <c r="FA46" t="e">
        <f>AND(#REF!,"AAAAAG/3/5w=")</f>
        <v>#REF!</v>
      </c>
      <c r="FB46" t="e">
        <f>AND(#REF!,"AAAAAG/3/50=")</f>
        <v>#REF!</v>
      </c>
      <c r="FC46" t="e">
        <f>AND(#REF!,"AAAAAG/3/54=")</f>
        <v>#REF!</v>
      </c>
      <c r="FD46" t="e">
        <f>AND(#REF!,"AAAAAG/3/58=")</f>
        <v>#REF!</v>
      </c>
      <c r="FE46" t="e">
        <f>AND(#REF!,"AAAAAG/3/6A=")</f>
        <v>#REF!</v>
      </c>
      <c r="FF46" t="e">
        <f>AND(#REF!,"AAAAAG/3/6E=")</f>
        <v>#REF!</v>
      </c>
      <c r="FG46" t="e">
        <f>AND(#REF!,"AAAAAG/3/6I=")</f>
        <v>#REF!</v>
      </c>
      <c r="FH46" t="e">
        <f>AND(#REF!,"AAAAAG/3/6M=")</f>
        <v>#REF!</v>
      </c>
      <c r="FI46" t="e">
        <f>AND(#REF!,"AAAAAG/3/6Q=")</f>
        <v>#REF!</v>
      </c>
      <c r="FJ46" t="e">
        <f>AND(#REF!,"AAAAAG/3/6U=")</f>
        <v>#REF!</v>
      </c>
      <c r="FK46" t="e">
        <f>AND(#REF!,"AAAAAG/3/6Y=")</f>
        <v>#REF!</v>
      </c>
      <c r="FL46" t="e">
        <f>AND(#REF!,"AAAAAG/3/6c=")</f>
        <v>#REF!</v>
      </c>
      <c r="FM46" t="e">
        <f>AND(#REF!,"AAAAAG/3/6g=")</f>
        <v>#REF!</v>
      </c>
      <c r="FN46" t="e">
        <f>AND(#REF!,"AAAAAG/3/6k=")</f>
        <v>#REF!</v>
      </c>
      <c r="FO46" t="e">
        <f>AND(#REF!,"AAAAAG/3/6o=")</f>
        <v>#REF!</v>
      </c>
      <c r="FP46" t="e">
        <f>AND(#REF!,"AAAAAG/3/6s=")</f>
        <v>#REF!</v>
      </c>
      <c r="FQ46" t="e">
        <f>AND(#REF!,"AAAAAG/3/6w=")</f>
        <v>#REF!</v>
      </c>
      <c r="FR46" t="e">
        <f>AND(#REF!,"AAAAAG/3/60=")</f>
        <v>#REF!</v>
      </c>
      <c r="FS46" t="e">
        <f>AND(#REF!,"AAAAAG/3/64=")</f>
        <v>#REF!</v>
      </c>
      <c r="FT46" t="e">
        <f>IF(#REF!,"AAAAAG/3/68=",0)</f>
        <v>#REF!</v>
      </c>
      <c r="FU46" t="e">
        <f>AND(#REF!,"AAAAAG/3/7A=")</f>
        <v>#REF!</v>
      </c>
      <c r="FV46" t="e">
        <f>AND(#REF!,"AAAAAG/3/7E=")</f>
        <v>#REF!</v>
      </c>
      <c r="FW46" t="e">
        <f>AND(#REF!,"AAAAAG/3/7I=")</f>
        <v>#REF!</v>
      </c>
      <c r="FX46" t="e">
        <f>AND(#REF!,"AAAAAG/3/7M=")</f>
        <v>#REF!</v>
      </c>
      <c r="FY46" t="e">
        <f>AND(#REF!,"AAAAAG/3/7Q=")</f>
        <v>#REF!</v>
      </c>
      <c r="FZ46" t="e">
        <f>AND(#REF!,"AAAAAG/3/7U=")</f>
        <v>#REF!</v>
      </c>
      <c r="GA46" t="e">
        <f>AND(#REF!,"AAAAAG/3/7Y=")</f>
        <v>#REF!</v>
      </c>
      <c r="GB46" t="e">
        <f>AND(#REF!,"AAAAAG/3/7c=")</f>
        <v>#REF!</v>
      </c>
      <c r="GC46" t="e">
        <f>AND(#REF!,"AAAAAG/3/7g=")</f>
        <v>#REF!</v>
      </c>
      <c r="GD46" t="e">
        <f>AND(#REF!,"AAAAAG/3/7k=")</f>
        <v>#REF!</v>
      </c>
      <c r="GE46" t="e">
        <f>AND(#REF!,"AAAAAG/3/7o=")</f>
        <v>#REF!</v>
      </c>
      <c r="GF46" t="e">
        <f>AND(#REF!,"AAAAAG/3/7s=")</f>
        <v>#REF!</v>
      </c>
      <c r="GG46" t="e">
        <f>AND(#REF!,"AAAAAG/3/7w=")</f>
        <v>#REF!</v>
      </c>
      <c r="GH46" t="e">
        <f>AND(#REF!,"AAAAAG/3/70=")</f>
        <v>#REF!</v>
      </c>
      <c r="GI46" t="e">
        <f>AND(#REF!,"AAAAAG/3/74=")</f>
        <v>#REF!</v>
      </c>
      <c r="GJ46" t="e">
        <f>AND(#REF!,"AAAAAG/3/78=")</f>
        <v>#REF!</v>
      </c>
      <c r="GK46" t="e">
        <f>AND(#REF!,"AAAAAG/3/8A=")</f>
        <v>#REF!</v>
      </c>
      <c r="GL46" t="e">
        <f>AND(#REF!,"AAAAAG/3/8E=")</f>
        <v>#REF!</v>
      </c>
      <c r="GM46" t="e">
        <f>AND(#REF!,"AAAAAG/3/8I=")</f>
        <v>#REF!</v>
      </c>
      <c r="GN46" t="e">
        <f>AND(#REF!,"AAAAAG/3/8M=")</f>
        <v>#REF!</v>
      </c>
      <c r="GO46" t="e">
        <f>AND(#REF!,"AAAAAG/3/8Q=")</f>
        <v>#REF!</v>
      </c>
      <c r="GP46" t="e">
        <f>AND(#REF!,"AAAAAG/3/8U=")</f>
        <v>#REF!</v>
      </c>
      <c r="GQ46" t="e">
        <f>AND(#REF!,"AAAAAG/3/8Y=")</f>
        <v>#REF!</v>
      </c>
      <c r="GR46" t="e">
        <f>AND(#REF!,"AAAAAG/3/8c=")</f>
        <v>#REF!</v>
      </c>
      <c r="GS46" t="e">
        <f>AND(#REF!,"AAAAAG/3/8g=")</f>
        <v>#REF!</v>
      </c>
      <c r="GT46" t="e">
        <f>AND(#REF!,"AAAAAG/3/8k=")</f>
        <v>#REF!</v>
      </c>
      <c r="GU46" t="e">
        <f>AND(#REF!,"AAAAAG/3/8o=")</f>
        <v>#REF!</v>
      </c>
      <c r="GV46" t="e">
        <f>AND(#REF!,"AAAAAG/3/8s=")</f>
        <v>#REF!</v>
      </c>
      <c r="GW46" t="e">
        <f>AND(#REF!,"AAAAAG/3/8w=")</f>
        <v>#REF!</v>
      </c>
      <c r="GX46" t="e">
        <f>AND(#REF!,"AAAAAG/3/80=")</f>
        <v>#REF!</v>
      </c>
      <c r="GY46" t="e">
        <f>AND(#REF!,"AAAAAG/3/84=")</f>
        <v>#REF!</v>
      </c>
      <c r="GZ46" t="e">
        <f>AND(#REF!,"AAAAAG/3/88=")</f>
        <v>#REF!</v>
      </c>
      <c r="HA46" t="e">
        <f>AND(#REF!,"AAAAAG/3/9A=")</f>
        <v>#REF!</v>
      </c>
      <c r="HB46" t="e">
        <f>AND(#REF!,"AAAAAG/3/9E=")</f>
        <v>#REF!</v>
      </c>
      <c r="HC46" t="e">
        <f>AND(#REF!,"AAAAAG/3/9I=")</f>
        <v>#REF!</v>
      </c>
      <c r="HD46" t="e">
        <f>AND(#REF!,"AAAAAG/3/9M=")</f>
        <v>#REF!</v>
      </c>
      <c r="HE46" t="e">
        <f>AND(#REF!,"AAAAAG/3/9Q=")</f>
        <v>#REF!</v>
      </c>
      <c r="HF46" t="e">
        <f>AND(#REF!,"AAAAAG/3/9U=")</f>
        <v>#REF!</v>
      </c>
      <c r="HG46" t="e">
        <f>AND(#REF!,"AAAAAG/3/9Y=")</f>
        <v>#REF!</v>
      </c>
      <c r="HH46" t="e">
        <f>AND(#REF!,"AAAAAG/3/9c=")</f>
        <v>#REF!</v>
      </c>
      <c r="HI46" t="e">
        <f>AND(#REF!,"AAAAAG/3/9g=")</f>
        <v>#REF!</v>
      </c>
      <c r="HJ46" t="e">
        <f>AND(#REF!,"AAAAAG/3/9k=")</f>
        <v>#REF!</v>
      </c>
      <c r="HK46" t="e">
        <f>AND(#REF!,"AAAAAG/3/9o=")</f>
        <v>#REF!</v>
      </c>
      <c r="HL46" t="e">
        <f>AND(#REF!,"AAAAAG/3/9s=")</f>
        <v>#REF!</v>
      </c>
      <c r="HM46" t="e">
        <f>AND(#REF!,"AAAAAG/3/9w=")</f>
        <v>#REF!</v>
      </c>
      <c r="HN46" t="e">
        <f>AND(#REF!,"AAAAAG/3/90=")</f>
        <v>#REF!</v>
      </c>
      <c r="HO46" t="e">
        <f>AND(#REF!,"AAAAAG/3/94=")</f>
        <v>#REF!</v>
      </c>
      <c r="HP46" t="e">
        <f>AND(#REF!,"AAAAAG/3/98=")</f>
        <v>#REF!</v>
      </c>
      <c r="HQ46" t="e">
        <f>AND(#REF!,"AAAAAG/3/+A=")</f>
        <v>#REF!</v>
      </c>
      <c r="HR46" t="e">
        <f>AND(#REF!,"AAAAAG/3/+E=")</f>
        <v>#REF!</v>
      </c>
      <c r="HS46" t="e">
        <f>AND(#REF!,"AAAAAG/3/+I=")</f>
        <v>#REF!</v>
      </c>
      <c r="HT46" t="e">
        <f>AND(#REF!,"AAAAAG/3/+M=")</f>
        <v>#REF!</v>
      </c>
      <c r="HU46" t="e">
        <f>AND(#REF!,"AAAAAG/3/+Q=")</f>
        <v>#REF!</v>
      </c>
      <c r="HV46" t="e">
        <f>AND(#REF!,"AAAAAG/3/+U=")</f>
        <v>#REF!</v>
      </c>
      <c r="HW46" t="e">
        <f>AND(#REF!,"AAAAAG/3/+Y=")</f>
        <v>#REF!</v>
      </c>
      <c r="HX46" t="e">
        <f>AND(#REF!,"AAAAAG/3/+c=")</f>
        <v>#REF!</v>
      </c>
      <c r="HY46" t="e">
        <f>AND(#REF!,"AAAAAG/3/+g=")</f>
        <v>#REF!</v>
      </c>
      <c r="HZ46" t="e">
        <f>AND(#REF!,"AAAAAG/3/+k=")</f>
        <v>#REF!</v>
      </c>
      <c r="IA46" t="e">
        <f>AND(#REF!,"AAAAAG/3/+o=")</f>
        <v>#REF!</v>
      </c>
      <c r="IB46" t="e">
        <f>AND(#REF!,"AAAAAG/3/+s=")</f>
        <v>#REF!</v>
      </c>
      <c r="IC46" t="e">
        <f>AND(#REF!,"AAAAAG/3/+w=")</f>
        <v>#REF!</v>
      </c>
      <c r="ID46" t="e">
        <f>AND(#REF!,"AAAAAG/3/+0=")</f>
        <v>#REF!</v>
      </c>
      <c r="IE46" t="e">
        <f>AND(#REF!,"AAAAAG/3/+4=")</f>
        <v>#REF!</v>
      </c>
      <c r="IF46" t="e">
        <f>AND(#REF!,"AAAAAG/3/+8=")</f>
        <v>#REF!</v>
      </c>
      <c r="IG46" t="e">
        <f>AND(#REF!,"AAAAAG/3//A=")</f>
        <v>#REF!</v>
      </c>
      <c r="IH46" t="e">
        <f>AND(#REF!,"AAAAAG/3//E=")</f>
        <v>#REF!</v>
      </c>
      <c r="II46" t="e">
        <f>AND(#REF!,"AAAAAG/3//I=")</f>
        <v>#REF!</v>
      </c>
      <c r="IJ46" t="e">
        <f>AND(#REF!,"AAAAAG/3//M=")</f>
        <v>#REF!</v>
      </c>
      <c r="IK46" t="e">
        <f>AND(#REF!,"AAAAAG/3//Q=")</f>
        <v>#REF!</v>
      </c>
      <c r="IL46" t="e">
        <f>AND(#REF!,"AAAAAG/3//U=")</f>
        <v>#REF!</v>
      </c>
      <c r="IM46" t="e">
        <f>AND(#REF!,"AAAAAG/3//Y=")</f>
        <v>#REF!</v>
      </c>
      <c r="IN46" t="e">
        <f>AND(#REF!,"AAAAAG/3//c=")</f>
        <v>#REF!</v>
      </c>
      <c r="IO46" t="e">
        <f>AND(#REF!,"AAAAAG/3//g=")</f>
        <v>#REF!</v>
      </c>
      <c r="IP46" t="e">
        <f>AND(#REF!,"AAAAAG/3//k=")</f>
        <v>#REF!</v>
      </c>
      <c r="IQ46" t="e">
        <f>AND(#REF!,"AAAAAG/3//o=")</f>
        <v>#REF!</v>
      </c>
      <c r="IR46" t="e">
        <f>AND(#REF!,"AAAAAG/3//s=")</f>
        <v>#REF!</v>
      </c>
      <c r="IS46" t="e">
        <f>AND(#REF!,"AAAAAG/3//w=")</f>
        <v>#REF!</v>
      </c>
      <c r="IT46" t="e">
        <f>AND(#REF!,"AAAAAG/3//0=")</f>
        <v>#REF!</v>
      </c>
      <c r="IU46" t="e">
        <f>AND(#REF!,"AAAAAG/3//4=")</f>
        <v>#REF!</v>
      </c>
      <c r="IV46" t="e">
        <f>AND(#REF!,"AAAAAG/3//8=")</f>
        <v>#REF!</v>
      </c>
    </row>
    <row r="47" spans="1:256" ht="15">
      <c r="A47" t="e">
        <f>AND(#REF!,"AAAAAEb/yQA=")</f>
        <v>#REF!</v>
      </c>
      <c r="B47" t="e">
        <f>AND(#REF!,"AAAAAEb/yQE=")</f>
        <v>#REF!</v>
      </c>
      <c r="C47" t="e">
        <f>AND(#REF!,"AAAAAEb/yQI=")</f>
        <v>#REF!</v>
      </c>
      <c r="D47" t="e">
        <f>AND(#REF!,"AAAAAEb/yQM=")</f>
        <v>#REF!</v>
      </c>
      <c r="E47" t="e">
        <f>AND(#REF!,"AAAAAEb/yQQ=")</f>
        <v>#REF!</v>
      </c>
      <c r="F47" t="e">
        <f>AND(#REF!,"AAAAAEb/yQU=")</f>
        <v>#REF!</v>
      </c>
      <c r="G47" t="e">
        <f>AND(#REF!,"AAAAAEb/yQY=")</f>
        <v>#REF!</v>
      </c>
      <c r="H47" t="e">
        <f>AND(#REF!,"AAAAAEb/yQc=")</f>
        <v>#REF!</v>
      </c>
      <c r="I47" t="e">
        <f>AND(#REF!,"AAAAAEb/yQg=")</f>
        <v>#REF!</v>
      </c>
      <c r="J47" t="e">
        <f>AND(#REF!,"AAAAAEb/yQk=")</f>
        <v>#REF!</v>
      </c>
      <c r="K47" t="e">
        <f>AND(#REF!,"AAAAAEb/yQo=")</f>
        <v>#REF!</v>
      </c>
      <c r="L47" t="e">
        <f>AND(#REF!,"AAAAAEb/yQs=")</f>
        <v>#REF!</v>
      </c>
      <c r="M47" t="e">
        <f>AND(#REF!,"AAAAAEb/yQw=")</f>
        <v>#REF!</v>
      </c>
      <c r="N47" t="e">
        <f>AND(#REF!,"AAAAAEb/yQ0=")</f>
        <v>#REF!</v>
      </c>
      <c r="O47" t="e">
        <f>AND(#REF!,"AAAAAEb/yQ4=")</f>
        <v>#REF!</v>
      </c>
      <c r="P47" t="e">
        <f>AND(#REF!,"AAAAAEb/yQ8=")</f>
        <v>#REF!</v>
      </c>
      <c r="Q47" t="e">
        <f>AND(#REF!,"AAAAAEb/yRA=")</f>
        <v>#REF!</v>
      </c>
      <c r="R47" t="e">
        <f>AND(#REF!,"AAAAAEb/yRE=")</f>
        <v>#REF!</v>
      </c>
      <c r="S47" t="e">
        <f>AND(#REF!,"AAAAAEb/yRI=")</f>
        <v>#REF!</v>
      </c>
      <c r="T47" t="e">
        <f>AND(#REF!,"AAAAAEb/yRM=")</f>
        <v>#REF!</v>
      </c>
      <c r="U47" t="e">
        <f>AND(#REF!,"AAAAAEb/yRQ=")</f>
        <v>#REF!</v>
      </c>
      <c r="V47" t="e">
        <f>AND(#REF!,"AAAAAEb/yRU=")</f>
        <v>#REF!</v>
      </c>
      <c r="W47" t="e">
        <f>AND(#REF!,"AAAAAEb/yRY=")</f>
        <v>#REF!</v>
      </c>
      <c r="X47" t="e">
        <f>AND(#REF!,"AAAAAEb/yRc=")</f>
        <v>#REF!</v>
      </c>
      <c r="Y47" t="e">
        <f>AND(#REF!,"AAAAAEb/yRg=")</f>
        <v>#REF!</v>
      </c>
      <c r="Z47" t="e">
        <f>AND(#REF!,"AAAAAEb/yRk=")</f>
        <v>#REF!</v>
      </c>
      <c r="AA47" t="e">
        <f>AND(#REF!,"AAAAAEb/yRo=")</f>
        <v>#REF!</v>
      </c>
      <c r="AB47" t="e">
        <f>AND(#REF!,"AAAAAEb/yRs=")</f>
        <v>#REF!</v>
      </c>
      <c r="AC47" t="e">
        <f>AND(#REF!,"AAAAAEb/yRw=")</f>
        <v>#REF!</v>
      </c>
      <c r="AD47" t="e">
        <f>AND(#REF!,"AAAAAEb/yR0=")</f>
        <v>#REF!</v>
      </c>
      <c r="AE47" t="e">
        <f>AND(#REF!,"AAAAAEb/yR4=")</f>
        <v>#REF!</v>
      </c>
      <c r="AF47" t="e">
        <f>AND(#REF!,"AAAAAEb/yR8=")</f>
        <v>#REF!</v>
      </c>
      <c r="AG47" t="e">
        <f>AND(#REF!,"AAAAAEb/ySA=")</f>
        <v>#REF!</v>
      </c>
      <c r="AH47" t="e">
        <f>AND(#REF!,"AAAAAEb/ySE=")</f>
        <v>#REF!</v>
      </c>
      <c r="AI47" t="e">
        <f>AND(#REF!,"AAAAAEb/ySI=")</f>
        <v>#REF!</v>
      </c>
      <c r="AJ47" t="e">
        <f>AND(#REF!,"AAAAAEb/ySM=")</f>
        <v>#REF!</v>
      </c>
      <c r="AK47" t="e">
        <f>AND(#REF!,"AAAAAEb/ySQ=")</f>
        <v>#REF!</v>
      </c>
      <c r="AL47" t="e">
        <f>AND(#REF!,"AAAAAEb/ySU=")</f>
        <v>#REF!</v>
      </c>
      <c r="AM47" t="e">
        <f>AND(#REF!,"AAAAAEb/ySY=")</f>
        <v>#REF!</v>
      </c>
      <c r="AN47" t="e">
        <f>AND(#REF!,"AAAAAEb/ySc=")</f>
        <v>#REF!</v>
      </c>
      <c r="AO47" t="e">
        <f>AND(#REF!,"AAAAAEb/ySg=")</f>
        <v>#REF!</v>
      </c>
      <c r="AP47" t="e">
        <f>AND(#REF!,"AAAAAEb/ySk=")</f>
        <v>#REF!</v>
      </c>
      <c r="AQ47" t="e">
        <f>AND(#REF!,"AAAAAEb/ySo=")</f>
        <v>#REF!</v>
      </c>
      <c r="AR47" t="e">
        <f>AND(#REF!,"AAAAAEb/ySs=")</f>
        <v>#REF!</v>
      </c>
      <c r="AS47" t="e">
        <f>AND(#REF!,"AAAAAEb/ySw=")</f>
        <v>#REF!</v>
      </c>
      <c r="AT47" t="e">
        <f>AND(#REF!,"AAAAAEb/yS0=")</f>
        <v>#REF!</v>
      </c>
      <c r="AU47" t="e">
        <f>AND(#REF!,"AAAAAEb/yS4=")</f>
        <v>#REF!</v>
      </c>
      <c r="AV47" t="e">
        <f>AND(#REF!,"AAAAAEb/yS8=")</f>
        <v>#REF!</v>
      </c>
      <c r="AW47" t="e">
        <f>AND(#REF!,"AAAAAEb/yTA=")</f>
        <v>#REF!</v>
      </c>
      <c r="AX47" t="e">
        <f>AND(#REF!,"AAAAAEb/yTE=")</f>
        <v>#REF!</v>
      </c>
      <c r="AY47" t="e">
        <f>AND(#REF!,"AAAAAEb/yTI=")</f>
        <v>#REF!</v>
      </c>
      <c r="AZ47" t="e">
        <f>AND(#REF!,"AAAAAEb/yTM=")</f>
        <v>#REF!</v>
      </c>
      <c r="BA47" t="e">
        <f>AND(#REF!,"AAAAAEb/yTQ=")</f>
        <v>#REF!</v>
      </c>
      <c r="BB47" t="e">
        <f>AND(#REF!,"AAAAAEb/yTU=")</f>
        <v>#REF!</v>
      </c>
      <c r="BC47" t="e">
        <f>AND(#REF!,"AAAAAEb/yTY=")</f>
        <v>#REF!</v>
      </c>
      <c r="BD47" t="e">
        <f>IF(#REF!,"AAAAAEb/yTc=",0)</f>
        <v>#REF!</v>
      </c>
      <c r="BE47" t="e">
        <f>AND(#REF!,"AAAAAEb/yTg=")</f>
        <v>#REF!</v>
      </c>
      <c r="BF47" t="e">
        <f>AND(#REF!,"AAAAAEb/yTk=")</f>
        <v>#REF!</v>
      </c>
      <c r="BG47" t="e">
        <f>AND(#REF!,"AAAAAEb/yTo=")</f>
        <v>#REF!</v>
      </c>
      <c r="BH47" t="e">
        <f>AND(#REF!,"AAAAAEb/yTs=")</f>
        <v>#REF!</v>
      </c>
      <c r="BI47" t="e">
        <f>AND(#REF!,"AAAAAEb/yTw=")</f>
        <v>#REF!</v>
      </c>
      <c r="BJ47" t="e">
        <f>AND(#REF!,"AAAAAEb/yT0=")</f>
        <v>#REF!</v>
      </c>
      <c r="BK47" t="e">
        <f>AND(#REF!,"AAAAAEb/yT4=")</f>
        <v>#REF!</v>
      </c>
      <c r="BL47" t="e">
        <f>AND(#REF!,"AAAAAEb/yT8=")</f>
        <v>#REF!</v>
      </c>
      <c r="BM47" t="e">
        <f>AND(#REF!,"AAAAAEb/yUA=")</f>
        <v>#REF!</v>
      </c>
      <c r="BN47" t="e">
        <f>AND(#REF!,"AAAAAEb/yUE=")</f>
        <v>#REF!</v>
      </c>
      <c r="BO47" t="e">
        <f>AND(#REF!,"AAAAAEb/yUI=")</f>
        <v>#REF!</v>
      </c>
      <c r="BP47" t="e">
        <f>AND(#REF!,"AAAAAEb/yUM=")</f>
        <v>#REF!</v>
      </c>
      <c r="BQ47" t="e">
        <f>AND(#REF!,"AAAAAEb/yUQ=")</f>
        <v>#REF!</v>
      </c>
      <c r="BR47" t="e">
        <f>AND(#REF!,"AAAAAEb/yUU=")</f>
        <v>#REF!</v>
      </c>
      <c r="BS47" t="e">
        <f>AND(#REF!,"AAAAAEb/yUY=")</f>
        <v>#REF!</v>
      </c>
      <c r="BT47" t="e">
        <f>AND(#REF!,"AAAAAEb/yUc=")</f>
        <v>#REF!</v>
      </c>
      <c r="BU47" t="e">
        <f>AND(#REF!,"AAAAAEb/yUg=")</f>
        <v>#REF!</v>
      </c>
      <c r="BV47" t="e">
        <f>AND(#REF!,"AAAAAEb/yUk=")</f>
        <v>#REF!</v>
      </c>
      <c r="BW47" t="e">
        <f>AND(#REF!,"AAAAAEb/yUo=")</f>
        <v>#REF!</v>
      </c>
      <c r="BX47" t="e">
        <f>AND(#REF!,"AAAAAEb/yUs=")</f>
        <v>#REF!</v>
      </c>
      <c r="BY47" t="e">
        <f>AND(#REF!,"AAAAAEb/yUw=")</f>
        <v>#REF!</v>
      </c>
      <c r="BZ47" t="e">
        <f>AND(#REF!,"AAAAAEb/yU0=")</f>
        <v>#REF!</v>
      </c>
      <c r="CA47" t="e">
        <f>AND(#REF!,"AAAAAEb/yU4=")</f>
        <v>#REF!</v>
      </c>
      <c r="CB47" t="e">
        <f>AND(#REF!,"AAAAAEb/yU8=")</f>
        <v>#REF!</v>
      </c>
      <c r="CC47" t="e">
        <f>AND(#REF!,"AAAAAEb/yVA=")</f>
        <v>#REF!</v>
      </c>
      <c r="CD47" t="e">
        <f>AND(#REF!,"AAAAAEb/yVE=")</f>
        <v>#REF!</v>
      </c>
      <c r="CE47" t="e">
        <f>AND(#REF!,"AAAAAEb/yVI=")</f>
        <v>#REF!</v>
      </c>
      <c r="CF47" t="e">
        <f>AND(#REF!,"AAAAAEb/yVM=")</f>
        <v>#REF!</v>
      </c>
      <c r="CG47" t="e">
        <f>AND(#REF!,"AAAAAEb/yVQ=")</f>
        <v>#REF!</v>
      </c>
      <c r="CH47" t="e">
        <f>AND(#REF!,"AAAAAEb/yVU=")</f>
        <v>#REF!</v>
      </c>
      <c r="CI47" t="e">
        <f>AND(#REF!,"AAAAAEb/yVY=")</f>
        <v>#REF!</v>
      </c>
      <c r="CJ47" t="e">
        <f>AND(#REF!,"AAAAAEb/yVc=")</f>
        <v>#REF!</v>
      </c>
      <c r="CK47" t="e">
        <f>AND(#REF!,"AAAAAEb/yVg=")</f>
        <v>#REF!</v>
      </c>
      <c r="CL47" t="e">
        <f>AND(#REF!,"AAAAAEb/yVk=")</f>
        <v>#REF!</v>
      </c>
      <c r="CM47" t="e">
        <f>AND(#REF!,"AAAAAEb/yVo=")</f>
        <v>#REF!</v>
      </c>
      <c r="CN47" t="e">
        <f>AND(#REF!,"AAAAAEb/yVs=")</f>
        <v>#REF!</v>
      </c>
      <c r="CO47" t="e">
        <f>AND(#REF!,"AAAAAEb/yVw=")</f>
        <v>#REF!</v>
      </c>
      <c r="CP47" t="e">
        <f>AND(#REF!,"AAAAAEb/yV0=")</f>
        <v>#REF!</v>
      </c>
      <c r="CQ47" t="e">
        <f>AND(#REF!,"AAAAAEb/yV4=")</f>
        <v>#REF!</v>
      </c>
      <c r="CR47" t="e">
        <f>AND(#REF!,"AAAAAEb/yV8=")</f>
        <v>#REF!</v>
      </c>
      <c r="CS47" t="e">
        <f>AND(#REF!,"AAAAAEb/yWA=")</f>
        <v>#REF!</v>
      </c>
      <c r="CT47" t="e">
        <f>AND(#REF!,"AAAAAEb/yWE=")</f>
        <v>#REF!</v>
      </c>
      <c r="CU47" t="e">
        <f>AND(#REF!,"AAAAAEb/yWI=")</f>
        <v>#REF!</v>
      </c>
      <c r="CV47" t="e">
        <f>AND(#REF!,"AAAAAEb/yWM=")</f>
        <v>#REF!</v>
      </c>
      <c r="CW47" t="e">
        <f>AND(#REF!,"AAAAAEb/yWQ=")</f>
        <v>#REF!</v>
      </c>
      <c r="CX47" t="e">
        <f>AND(#REF!,"AAAAAEb/yWU=")</f>
        <v>#REF!</v>
      </c>
      <c r="CY47" t="e">
        <f>AND(#REF!,"AAAAAEb/yWY=")</f>
        <v>#REF!</v>
      </c>
      <c r="CZ47" t="e">
        <f>AND(#REF!,"AAAAAEb/yWc=")</f>
        <v>#REF!</v>
      </c>
      <c r="DA47" t="e">
        <f>AND(#REF!,"AAAAAEb/yWg=")</f>
        <v>#REF!</v>
      </c>
      <c r="DB47" t="e">
        <f>AND(#REF!,"AAAAAEb/yWk=")</f>
        <v>#REF!</v>
      </c>
      <c r="DC47" t="e">
        <f>AND(#REF!,"AAAAAEb/yWo=")</f>
        <v>#REF!</v>
      </c>
      <c r="DD47" t="e">
        <f>AND(#REF!,"AAAAAEb/yWs=")</f>
        <v>#REF!</v>
      </c>
      <c r="DE47" t="e">
        <f>AND(#REF!,"AAAAAEb/yWw=")</f>
        <v>#REF!</v>
      </c>
      <c r="DF47" t="e">
        <f>AND(#REF!,"AAAAAEb/yW0=")</f>
        <v>#REF!</v>
      </c>
      <c r="DG47" t="e">
        <f>AND(#REF!,"AAAAAEb/yW4=")</f>
        <v>#REF!</v>
      </c>
      <c r="DH47" t="e">
        <f>AND(#REF!,"AAAAAEb/yW8=")</f>
        <v>#REF!</v>
      </c>
      <c r="DI47" t="e">
        <f>AND(#REF!,"AAAAAEb/yXA=")</f>
        <v>#REF!</v>
      </c>
      <c r="DJ47" t="e">
        <f>AND(#REF!,"AAAAAEb/yXE=")</f>
        <v>#REF!</v>
      </c>
      <c r="DK47" t="e">
        <f>AND(#REF!,"AAAAAEb/yXI=")</f>
        <v>#REF!</v>
      </c>
      <c r="DL47" t="e">
        <f>AND(#REF!,"AAAAAEb/yXM=")</f>
        <v>#REF!</v>
      </c>
      <c r="DM47" t="e">
        <f>AND(#REF!,"AAAAAEb/yXQ=")</f>
        <v>#REF!</v>
      </c>
      <c r="DN47" t="e">
        <f>AND(#REF!,"AAAAAEb/yXU=")</f>
        <v>#REF!</v>
      </c>
      <c r="DO47" t="e">
        <f>AND(#REF!,"AAAAAEb/yXY=")</f>
        <v>#REF!</v>
      </c>
      <c r="DP47" t="e">
        <f>AND(#REF!,"AAAAAEb/yXc=")</f>
        <v>#REF!</v>
      </c>
      <c r="DQ47" t="e">
        <f>AND(#REF!,"AAAAAEb/yXg=")</f>
        <v>#REF!</v>
      </c>
      <c r="DR47" t="e">
        <f>AND(#REF!,"AAAAAEb/yXk=")</f>
        <v>#REF!</v>
      </c>
      <c r="DS47" t="e">
        <f>AND(#REF!,"AAAAAEb/yXo=")</f>
        <v>#REF!</v>
      </c>
      <c r="DT47" t="e">
        <f>AND(#REF!,"AAAAAEb/yXs=")</f>
        <v>#REF!</v>
      </c>
      <c r="DU47" t="e">
        <f>AND(#REF!,"AAAAAEb/yXw=")</f>
        <v>#REF!</v>
      </c>
      <c r="DV47" t="e">
        <f>AND(#REF!,"AAAAAEb/yX0=")</f>
        <v>#REF!</v>
      </c>
      <c r="DW47" t="e">
        <f>AND(#REF!,"AAAAAEb/yX4=")</f>
        <v>#REF!</v>
      </c>
      <c r="DX47" t="e">
        <f>AND(#REF!,"AAAAAEb/yX8=")</f>
        <v>#REF!</v>
      </c>
      <c r="DY47" t="e">
        <f>AND(#REF!,"AAAAAEb/yYA=")</f>
        <v>#REF!</v>
      </c>
      <c r="DZ47" t="e">
        <f>AND(#REF!,"AAAAAEb/yYE=")</f>
        <v>#REF!</v>
      </c>
      <c r="EA47" t="e">
        <f>AND(#REF!,"AAAAAEb/yYI=")</f>
        <v>#REF!</v>
      </c>
      <c r="EB47" t="e">
        <f>AND(#REF!,"AAAAAEb/yYM=")</f>
        <v>#REF!</v>
      </c>
      <c r="EC47" t="e">
        <f>AND(#REF!,"AAAAAEb/yYQ=")</f>
        <v>#REF!</v>
      </c>
      <c r="ED47" t="e">
        <f>AND(#REF!,"AAAAAEb/yYU=")</f>
        <v>#REF!</v>
      </c>
      <c r="EE47" t="e">
        <f>AND(#REF!,"AAAAAEb/yYY=")</f>
        <v>#REF!</v>
      </c>
      <c r="EF47" t="e">
        <f>AND(#REF!,"AAAAAEb/yYc=")</f>
        <v>#REF!</v>
      </c>
      <c r="EG47" t="e">
        <f>AND(#REF!,"AAAAAEb/yYg=")</f>
        <v>#REF!</v>
      </c>
      <c r="EH47" t="e">
        <f>AND(#REF!,"AAAAAEb/yYk=")</f>
        <v>#REF!</v>
      </c>
      <c r="EI47" t="e">
        <f>AND(#REF!,"AAAAAEb/yYo=")</f>
        <v>#REF!</v>
      </c>
      <c r="EJ47" t="e">
        <f>AND(#REF!,"AAAAAEb/yYs=")</f>
        <v>#REF!</v>
      </c>
      <c r="EK47" t="e">
        <f>AND(#REF!,"AAAAAEb/yYw=")</f>
        <v>#REF!</v>
      </c>
      <c r="EL47" t="e">
        <f>AND(#REF!,"AAAAAEb/yY0=")</f>
        <v>#REF!</v>
      </c>
      <c r="EM47" t="e">
        <f>AND(#REF!,"AAAAAEb/yY4=")</f>
        <v>#REF!</v>
      </c>
      <c r="EN47" t="e">
        <f>AND(#REF!,"AAAAAEb/yY8=")</f>
        <v>#REF!</v>
      </c>
      <c r="EO47" t="e">
        <f>AND(#REF!,"AAAAAEb/yZA=")</f>
        <v>#REF!</v>
      </c>
      <c r="EP47" t="e">
        <f>AND(#REF!,"AAAAAEb/yZE=")</f>
        <v>#REF!</v>
      </c>
      <c r="EQ47" t="e">
        <f>AND(#REF!,"AAAAAEb/yZI=")</f>
        <v>#REF!</v>
      </c>
      <c r="ER47" t="e">
        <f>AND(#REF!,"AAAAAEb/yZM=")</f>
        <v>#REF!</v>
      </c>
      <c r="ES47" t="e">
        <f>AND(#REF!,"AAAAAEb/yZQ=")</f>
        <v>#REF!</v>
      </c>
      <c r="ET47" t="e">
        <f>AND(#REF!,"AAAAAEb/yZU=")</f>
        <v>#REF!</v>
      </c>
      <c r="EU47" t="e">
        <f>AND(#REF!,"AAAAAEb/yZY=")</f>
        <v>#REF!</v>
      </c>
      <c r="EV47" t="e">
        <f>AND(#REF!,"AAAAAEb/yZc=")</f>
        <v>#REF!</v>
      </c>
      <c r="EW47" t="e">
        <f>AND(#REF!,"AAAAAEb/yZg=")</f>
        <v>#REF!</v>
      </c>
      <c r="EX47" t="e">
        <f>AND(#REF!,"AAAAAEb/yZk=")</f>
        <v>#REF!</v>
      </c>
      <c r="EY47" t="e">
        <f>AND(#REF!,"AAAAAEb/yZo=")</f>
        <v>#REF!</v>
      </c>
      <c r="EZ47" t="e">
        <f>AND(#REF!,"AAAAAEb/yZs=")</f>
        <v>#REF!</v>
      </c>
      <c r="FA47" t="e">
        <f>AND(#REF!,"AAAAAEb/yZw=")</f>
        <v>#REF!</v>
      </c>
      <c r="FB47" t="e">
        <f>AND(#REF!,"AAAAAEb/yZ0=")</f>
        <v>#REF!</v>
      </c>
      <c r="FC47" t="e">
        <f>AND(#REF!,"AAAAAEb/yZ4=")</f>
        <v>#REF!</v>
      </c>
      <c r="FD47" t="e">
        <f>AND(#REF!,"AAAAAEb/yZ8=")</f>
        <v>#REF!</v>
      </c>
      <c r="FE47" t="e">
        <f>AND(#REF!,"AAAAAEb/yaA=")</f>
        <v>#REF!</v>
      </c>
      <c r="FF47" t="e">
        <f>AND(#REF!,"AAAAAEb/yaE=")</f>
        <v>#REF!</v>
      </c>
      <c r="FG47" t="e">
        <f>AND(#REF!,"AAAAAEb/yaI=")</f>
        <v>#REF!</v>
      </c>
      <c r="FH47" t="e">
        <f>AND(#REF!,"AAAAAEb/yaM=")</f>
        <v>#REF!</v>
      </c>
      <c r="FI47" t="e">
        <f>AND(#REF!,"AAAAAEb/yaQ=")</f>
        <v>#REF!</v>
      </c>
      <c r="FJ47" t="e">
        <f>AND(#REF!,"AAAAAEb/yaU=")</f>
        <v>#REF!</v>
      </c>
      <c r="FK47" t="e">
        <f>AND(#REF!,"AAAAAEb/yaY=")</f>
        <v>#REF!</v>
      </c>
      <c r="FL47" t="e">
        <f>AND(#REF!,"AAAAAEb/yac=")</f>
        <v>#REF!</v>
      </c>
      <c r="FM47" t="e">
        <f>AND(#REF!,"AAAAAEb/yag=")</f>
        <v>#REF!</v>
      </c>
      <c r="FN47" t="e">
        <f>AND(#REF!,"AAAAAEb/yak=")</f>
        <v>#REF!</v>
      </c>
      <c r="FO47" t="e">
        <f>AND(#REF!,"AAAAAEb/yao=")</f>
        <v>#REF!</v>
      </c>
      <c r="FP47" t="e">
        <f>AND(#REF!,"AAAAAEb/yas=")</f>
        <v>#REF!</v>
      </c>
      <c r="FQ47" t="e">
        <f>AND(#REF!,"AAAAAEb/yaw=")</f>
        <v>#REF!</v>
      </c>
      <c r="FR47" t="e">
        <f>AND(#REF!,"AAAAAEb/ya0=")</f>
        <v>#REF!</v>
      </c>
      <c r="FS47" t="e">
        <f>AND(#REF!,"AAAAAEb/ya4=")</f>
        <v>#REF!</v>
      </c>
      <c r="FT47" t="e">
        <f>AND(#REF!,"AAAAAEb/ya8=")</f>
        <v>#REF!</v>
      </c>
      <c r="FU47" t="e">
        <f>AND(#REF!,"AAAAAEb/ybA=")</f>
        <v>#REF!</v>
      </c>
      <c r="FV47" t="e">
        <f>AND(#REF!,"AAAAAEb/ybE=")</f>
        <v>#REF!</v>
      </c>
      <c r="FW47" t="e">
        <f>AND(#REF!,"AAAAAEb/ybI=")</f>
        <v>#REF!</v>
      </c>
      <c r="FX47" t="e">
        <f>AND(#REF!,"AAAAAEb/ybM=")</f>
        <v>#REF!</v>
      </c>
      <c r="FY47" t="e">
        <f>AND(#REF!,"AAAAAEb/ybQ=")</f>
        <v>#REF!</v>
      </c>
      <c r="FZ47" t="e">
        <f>AND(#REF!,"AAAAAEb/ybU=")</f>
        <v>#REF!</v>
      </c>
      <c r="GA47" t="e">
        <f>AND(#REF!,"AAAAAEb/ybY=")</f>
        <v>#REF!</v>
      </c>
      <c r="GB47" t="e">
        <f>AND(#REF!,"AAAAAEb/ybc=")</f>
        <v>#REF!</v>
      </c>
      <c r="GC47" t="e">
        <f>AND(#REF!,"AAAAAEb/ybg=")</f>
        <v>#REF!</v>
      </c>
      <c r="GD47" t="e">
        <f>AND(#REF!,"AAAAAEb/ybk=")</f>
        <v>#REF!</v>
      </c>
      <c r="GE47" t="e">
        <f>AND(#REF!,"AAAAAEb/ybo=")</f>
        <v>#REF!</v>
      </c>
      <c r="GF47" t="e">
        <f>AND(#REF!,"AAAAAEb/ybs=")</f>
        <v>#REF!</v>
      </c>
      <c r="GG47" t="e">
        <f>AND(#REF!,"AAAAAEb/ybw=")</f>
        <v>#REF!</v>
      </c>
      <c r="GH47" t="e">
        <f>AND(#REF!,"AAAAAEb/yb0=")</f>
        <v>#REF!</v>
      </c>
      <c r="GI47" t="e">
        <f>AND(#REF!,"AAAAAEb/yb4=")</f>
        <v>#REF!</v>
      </c>
      <c r="GJ47" t="e">
        <f>IF(#REF!,"AAAAAEb/yb8=",0)</f>
        <v>#REF!</v>
      </c>
      <c r="GK47" t="e">
        <f>AND(#REF!,"AAAAAEb/ycA=")</f>
        <v>#REF!</v>
      </c>
      <c r="GL47" t="e">
        <f>AND(#REF!,"AAAAAEb/ycE=")</f>
        <v>#REF!</v>
      </c>
      <c r="GM47" t="e">
        <f>AND(#REF!,"AAAAAEb/ycI=")</f>
        <v>#REF!</v>
      </c>
      <c r="GN47" t="e">
        <f>AND(#REF!,"AAAAAEb/ycM=")</f>
        <v>#REF!</v>
      </c>
      <c r="GO47" t="e">
        <f>AND(#REF!,"AAAAAEb/ycQ=")</f>
        <v>#REF!</v>
      </c>
      <c r="GP47" t="e">
        <f>AND(#REF!,"AAAAAEb/ycU=")</f>
        <v>#REF!</v>
      </c>
      <c r="GQ47" t="e">
        <f>AND(#REF!,"AAAAAEb/ycY=")</f>
        <v>#REF!</v>
      </c>
      <c r="GR47" t="e">
        <f>AND(#REF!,"AAAAAEb/ycc=")</f>
        <v>#REF!</v>
      </c>
      <c r="GS47" t="e">
        <f>AND(#REF!,"AAAAAEb/ycg=")</f>
        <v>#REF!</v>
      </c>
      <c r="GT47" t="e">
        <f>AND(#REF!,"AAAAAEb/yck=")</f>
        <v>#REF!</v>
      </c>
      <c r="GU47" t="e">
        <f>AND(#REF!,"AAAAAEb/yco=")</f>
        <v>#REF!</v>
      </c>
      <c r="GV47" t="e">
        <f>AND(#REF!,"AAAAAEb/ycs=")</f>
        <v>#REF!</v>
      </c>
      <c r="GW47" t="e">
        <f>AND(#REF!,"AAAAAEb/ycw=")</f>
        <v>#REF!</v>
      </c>
      <c r="GX47" t="e">
        <f>AND(#REF!,"AAAAAEb/yc0=")</f>
        <v>#REF!</v>
      </c>
      <c r="GY47" t="e">
        <f>AND(#REF!,"AAAAAEb/yc4=")</f>
        <v>#REF!</v>
      </c>
      <c r="GZ47" t="e">
        <f>AND(#REF!,"AAAAAEb/yc8=")</f>
        <v>#REF!</v>
      </c>
      <c r="HA47" t="e">
        <f>AND(#REF!,"AAAAAEb/ydA=")</f>
        <v>#REF!</v>
      </c>
      <c r="HB47" t="e">
        <f>AND(#REF!,"AAAAAEb/ydE=")</f>
        <v>#REF!</v>
      </c>
      <c r="HC47" t="e">
        <f>AND(#REF!,"AAAAAEb/ydI=")</f>
        <v>#REF!</v>
      </c>
      <c r="HD47" t="e">
        <f>AND(#REF!,"AAAAAEb/ydM=")</f>
        <v>#REF!</v>
      </c>
      <c r="HE47" t="e">
        <f>AND(#REF!,"AAAAAEb/ydQ=")</f>
        <v>#REF!</v>
      </c>
      <c r="HF47" t="e">
        <f>AND(#REF!,"AAAAAEb/ydU=")</f>
        <v>#REF!</v>
      </c>
      <c r="HG47" t="e">
        <f>AND(#REF!,"AAAAAEb/ydY=")</f>
        <v>#REF!</v>
      </c>
      <c r="HH47" t="e">
        <f>AND(#REF!,"AAAAAEb/ydc=")</f>
        <v>#REF!</v>
      </c>
      <c r="HI47" t="e">
        <f>AND(#REF!,"AAAAAEb/ydg=")</f>
        <v>#REF!</v>
      </c>
      <c r="HJ47" t="e">
        <f>AND(#REF!,"AAAAAEb/ydk=")</f>
        <v>#REF!</v>
      </c>
      <c r="HK47" t="e">
        <f>AND(#REF!,"AAAAAEb/ydo=")</f>
        <v>#REF!</v>
      </c>
      <c r="HL47" t="e">
        <f>AND(#REF!,"AAAAAEb/yds=")</f>
        <v>#REF!</v>
      </c>
      <c r="HM47" t="e">
        <f>AND(#REF!,"AAAAAEb/ydw=")</f>
        <v>#REF!</v>
      </c>
      <c r="HN47" t="e">
        <f>AND(#REF!,"AAAAAEb/yd0=")</f>
        <v>#REF!</v>
      </c>
      <c r="HO47" t="e">
        <f>AND(#REF!,"AAAAAEb/yd4=")</f>
        <v>#REF!</v>
      </c>
      <c r="HP47" t="e">
        <f>AND(#REF!,"AAAAAEb/yd8=")</f>
        <v>#REF!</v>
      </c>
      <c r="HQ47" t="e">
        <f>AND(#REF!,"AAAAAEb/yeA=")</f>
        <v>#REF!</v>
      </c>
      <c r="HR47" t="e">
        <f>AND(#REF!,"AAAAAEb/yeE=")</f>
        <v>#REF!</v>
      </c>
      <c r="HS47" t="e">
        <f>AND(#REF!,"AAAAAEb/yeI=")</f>
        <v>#REF!</v>
      </c>
      <c r="HT47" t="e">
        <f>AND(#REF!,"AAAAAEb/yeM=")</f>
        <v>#REF!</v>
      </c>
      <c r="HU47" t="e">
        <f>AND(#REF!,"AAAAAEb/yeQ=")</f>
        <v>#REF!</v>
      </c>
      <c r="HV47" t="e">
        <f>AND(#REF!,"AAAAAEb/yeU=")</f>
        <v>#REF!</v>
      </c>
      <c r="HW47" t="e">
        <f>AND(#REF!,"AAAAAEb/yeY=")</f>
        <v>#REF!</v>
      </c>
      <c r="HX47" t="e">
        <f>AND(#REF!,"AAAAAEb/yec=")</f>
        <v>#REF!</v>
      </c>
      <c r="HY47" t="e">
        <f>AND(#REF!,"AAAAAEb/yeg=")</f>
        <v>#REF!</v>
      </c>
      <c r="HZ47" t="e">
        <f>AND(#REF!,"AAAAAEb/yek=")</f>
        <v>#REF!</v>
      </c>
      <c r="IA47" t="e">
        <f>AND(#REF!,"AAAAAEb/yeo=")</f>
        <v>#REF!</v>
      </c>
      <c r="IB47" t="e">
        <f>AND(#REF!,"AAAAAEb/yes=")</f>
        <v>#REF!</v>
      </c>
      <c r="IC47" t="e">
        <f>AND(#REF!,"AAAAAEb/yew=")</f>
        <v>#REF!</v>
      </c>
      <c r="ID47" t="e">
        <f>AND(#REF!,"AAAAAEb/ye0=")</f>
        <v>#REF!</v>
      </c>
      <c r="IE47" t="e">
        <f>AND(#REF!,"AAAAAEb/ye4=")</f>
        <v>#REF!</v>
      </c>
      <c r="IF47" t="e">
        <f>AND(#REF!,"AAAAAEb/ye8=")</f>
        <v>#REF!</v>
      </c>
      <c r="IG47" t="e">
        <f>AND(#REF!,"AAAAAEb/yfA=")</f>
        <v>#REF!</v>
      </c>
      <c r="IH47" t="e">
        <f>AND(#REF!,"AAAAAEb/yfE=")</f>
        <v>#REF!</v>
      </c>
      <c r="II47" t="e">
        <f>AND(#REF!,"AAAAAEb/yfI=")</f>
        <v>#REF!</v>
      </c>
      <c r="IJ47" t="e">
        <f>AND(#REF!,"AAAAAEb/yfM=")</f>
        <v>#REF!</v>
      </c>
      <c r="IK47" t="e">
        <f>AND(#REF!,"AAAAAEb/yfQ=")</f>
        <v>#REF!</v>
      </c>
      <c r="IL47" t="e">
        <f>AND(#REF!,"AAAAAEb/yfU=")</f>
        <v>#REF!</v>
      </c>
      <c r="IM47" t="e">
        <f>AND(#REF!,"AAAAAEb/yfY=")</f>
        <v>#REF!</v>
      </c>
      <c r="IN47" t="e">
        <f>AND(#REF!,"AAAAAEb/yfc=")</f>
        <v>#REF!</v>
      </c>
      <c r="IO47" t="e">
        <f>AND(#REF!,"AAAAAEb/yfg=")</f>
        <v>#REF!</v>
      </c>
      <c r="IP47" t="e">
        <f>AND(#REF!,"AAAAAEb/yfk=")</f>
        <v>#REF!</v>
      </c>
      <c r="IQ47" t="e">
        <f>AND(#REF!,"AAAAAEb/yfo=")</f>
        <v>#REF!</v>
      </c>
      <c r="IR47" t="e">
        <f>AND(#REF!,"AAAAAEb/yfs=")</f>
        <v>#REF!</v>
      </c>
      <c r="IS47" t="e">
        <f>AND(#REF!,"AAAAAEb/yfw=")</f>
        <v>#REF!</v>
      </c>
      <c r="IT47" t="e">
        <f>AND(#REF!,"AAAAAEb/yf0=")</f>
        <v>#REF!</v>
      </c>
      <c r="IU47" t="e">
        <f>AND(#REF!,"AAAAAEb/yf4=")</f>
        <v>#REF!</v>
      </c>
      <c r="IV47" t="e">
        <f>AND(#REF!,"AAAAAEb/yf8=")</f>
        <v>#REF!</v>
      </c>
    </row>
    <row r="48" spans="1:256" ht="15">
      <c r="A48" t="e">
        <f>AND(#REF!,"AAAAAF5/ZwA=")</f>
        <v>#REF!</v>
      </c>
      <c r="B48" t="e">
        <f>AND(#REF!,"AAAAAF5/ZwE=")</f>
        <v>#REF!</v>
      </c>
      <c r="C48" t="e">
        <f>AND(#REF!,"AAAAAF5/ZwI=")</f>
        <v>#REF!</v>
      </c>
      <c r="D48" t="e">
        <f>AND(#REF!,"AAAAAF5/ZwM=")</f>
        <v>#REF!</v>
      </c>
      <c r="E48" t="e">
        <f>AND(#REF!,"AAAAAF5/ZwQ=")</f>
        <v>#REF!</v>
      </c>
      <c r="F48" t="e">
        <f>AND(#REF!,"AAAAAF5/ZwU=")</f>
        <v>#REF!</v>
      </c>
      <c r="G48" t="e">
        <f>AND(#REF!,"AAAAAF5/ZwY=")</f>
        <v>#REF!</v>
      </c>
      <c r="H48" t="e">
        <f>AND(#REF!,"AAAAAF5/Zwc=")</f>
        <v>#REF!</v>
      </c>
      <c r="I48" t="e">
        <f>AND(#REF!,"AAAAAF5/Zwg=")</f>
        <v>#REF!</v>
      </c>
      <c r="J48" t="e">
        <f>AND(#REF!,"AAAAAF5/Zwk=")</f>
        <v>#REF!</v>
      </c>
      <c r="K48" t="e">
        <f>AND(#REF!,"AAAAAF5/Zwo=")</f>
        <v>#REF!</v>
      </c>
      <c r="L48" t="e">
        <f>AND(#REF!,"AAAAAF5/Zws=")</f>
        <v>#REF!</v>
      </c>
      <c r="M48" t="e">
        <f>AND(#REF!,"AAAAAF5/Zww=")</f>
        <v>#REF!</v>
      </c>
      <c r="N48" t="e">
        <f>AND(#REF!,"AAAAAF5/Zw0=")</f>
        <v>#REF!</v>
      </c>
      <c r="O48" t="e">
        <f>AND(#REF!,"AAAAAF5/Zw4=")</f>
        <v>#REF!</v>
      </c>
      <c r="P48" t="e">
        <f>AND(#REF!,"AAAAAF5/Zw8=")</f>
        <v>#REF!</v>
      </c>
      <c r="Q48" t="e">
        <f>AND(#REF!,"AAAAAF5/ZxA=")</f>
        <v>#REF!</v>
      </c>
      <c r="R48" t="e">
        <f>AND(#REF!,"AAAAAF5/ZxE=")</f>
        <v>#REF!</v>
      </c>
      <c r="S48" t="e">
        <f>AND(#REF!,"AAAAAF5/ZxI=")</f>
        <v>#REF!</v>
      </c>
      <c r="T48" t="e">
        <f>AND(#REF!,"AAAAAF5/ZxM=")</f>
        <v>#REF!</v>
      </c>
      <c r="U48" t="e">
        <f>AND(#REF!,"AAAAAF5/ZxQ=")</f>
        <v>#REF!</v>
      </c>
      <c r="V48" t="e">
        <f>AND(#REF!,"AAAAAF5/ZxU=")</f>
        <v>#REF!</v>
      </c>
      <c r="W48" t="e">
        <f>AND(#REF!,"AAAAAF5/ZxY=")</f>
        <v>#REF!</v>
      </c>
      <c r="X48" t="e">
        <f>AND(#REF!,"AAAAAF5/Zxc=")</f>
        <v>#REF!</v>
      </c>
      <c r="Y48" t="e">
        <f>AND(#REF!,"AAAAAF5/Zxg=")</f>
        <v>#REF!</v>
      </c>
      <c r="Z48" t="e">
        <f>AND(#REF!,"AAAAAF5/Zxk=")</f>
        <v>#REF!</v>
      </c>
      <c r="AA48" t="e">
        <f>AND(#REF!,"AAAAAF5/Zxo=")</f>
        <v>#REF!</v>
      </c>
      <c r="AB48" t="e">
        <f>AND(#REF!,"AAAAAF5/Zxs=")</f>
        <v>#REF!</v>
      </c>
      <c r="AC48" t="e">
        <f>AND(#REF!,"AAAAAF5/Zxw=")</f>
        <v>#REF!</v>
      </c>
      <c r="AD48" t="e">
        <f>AND(#REF!,"AAAAAF5/Zx0=")</f>
        <v>#REF!</v>
      </c>
      <c r="AE48" t="e">
        <f>AND(#REF!,"AAAAAF5/Zx4=")</f>
        <v>#REF!</v>
      </c>
      <c r="AF48" t="e">
        <f>AND(#REF!,"AAAAAF5/Zx8=")</f>
        <v>#REF!</v>
      </c>
      <c r="AG48" t="e">
        <f>AND(#REF!,"AAAAAF5/ZyA=")</f>
        <v>#REF!</v>
      </c>
      <c r="AH48" t="e">
        <f>AND(#REF!,"AAAAAF5/ZyE=")</f>
        <v>#REF!</v>
      </c>
      <c r="AI48" t="e">
        <f>AND(#REF!,"AAAAAF5/ZyI=")</f>
        <v>#REF!</v>
      </c>
      <c r="AJ48" t="e">
        <f>AND(#REF!,"AAAAAF5/ZyM=")</f>
        <v>#REF!</v>
      </c>
      <c r="AK48" t="e">
        <f>AND(#REF!,"AAAAAF5/ZyQ=")</f>
        <v>#REF!</v>
      </c>
      <c r="AL48" t="e">
        <f>AND(#REF!,"AAAAAF5/ZyU=")</f>
        <v>#REF!</v>
      </c>
      <c r="AM48" t="e">
        <f>AND(#REF!,"AAAAAF5/ZyY=")</f>
        <v>#REF!</v>
      </c>
      <c r="AN48" t="e">
        <f>AND(#REF!,"AAAAAF5/Zyc=")</f>
        <v>#REF!</v>
      </c>
      <c r="AO48" t="e">
        <f>AND(#REF!,"AAAAAF5/Zyg=")</f>
        <v>#REF!</v>
      </c>
      <c r="AP48" t="e">
        <f>AND(#REF!,"AAAAAF5/Zyk=")</f>
        <v>#REF!</v>
      </c>
      <c r="AQ48" t="e">
        <f>AND(#REF!,"AAAAAF5/Zyo=")</f>
        <v>#REF!</v>
      </c>
      <c r="AR48" t="e">
        <f>AND(#REF!,"AAAAAF5/Zys=")</f>
        <v>#REF!</v>
      </c>
      <c r="AS48" t="e">
        <f>AND(#REF!,"AAAAAF5/Zyw=")</f>
        <v>#REF!</v>
      </c>
      <c r="AT48" t="e">
        <f>AND(#REF!,"AAAAAF5/Zy0=")</f>
        <v>#REF!</v>
      </c>
      <c r="AU48" t="e">
        <f>AND(#REF!,"AAAAAF5/Zy4=")</f>
        <v>#REF!</v>
      </c>
      <c r="AV48" t="e">
        <f>AND(#REF!,"AAAAAF5/Zy8=")</f>
        <v>#REF!</v>
      </c>
      <c r="AW48" t="e">
        <f>AND(#REF!,"AAAAAF5/ZzA=")</f>
        <v>#REF!</v>
      </c>
      <c r="AX48" t="e">
        <f>AND(#REF!,"AAAAAF5/ZzE=")</f>
        <v>#REF!</v>
      </c>
      <c r="AY48" t="e">
        <f>AND(#REF!,"AAAAAF5/ZzI=")</f>
        <v>#REF!</v>
      </c>
      <c r="AZ48" t="e">
        <f>AND(#REF!,"AAAAAF5/ZzM=")</f>
        <v>#REF!</v>
      </c>
      <c r="BA48" t="e">
        <f>AND(#REF!,"AAAAAF5/ZzQ=")</f>
        <v>#REF!</v>
      </c>
      <c r="BB48" t="e">
        <f>AND(#REF!,"AAAAAF5/ZzU=")</f>
        <v>#REF!</v>
      </c>
      <c r="BC48" t="e">
        <f>AND(#REF!,"AAAAAF5/ZzY=")</f>
        <v>#REF!</v>
      </c>
      <c r="BD48" t="e">
        <f>AND(#REF!,"AAAAAF5/Zzc=")</f>
        <v>#REF!</v>
      </c>
      <c r="BE48" t="e">
        <f>AND(#REF!,"AAAAAF5/Zzg=")</f>
        <v>#REF!</v>
      </c>
      <c r="BF48" t="e">
        <f>AND(#REF!,"AAAAAF5/Zzk=")</f>
        <v>#REF!</v>
      </c>
      <c r="BG48" t="e">
        <f>AND(#REF!,"AAAAAF5/Zzo=")</f>
        <v>#REF!</v>
      </c>
      <c r="BH48" t="e">
        <f>AND(#REF!,"AAAAAF5/Zzs=")</f>
        <v>#REF!</v>
      </c>
      <c r="BI48" t="e">
        <f>AND(#REF!,"AAAAAF5/Zzw=")</f>
        <v>#REF!</v>
      </c>
      <c r="BJ48" t="e">
        <f>AND(#REF!,"AAAAAF5/Zz0=")</f>
        <v>#REF!</v>
      </c>
      <c r="BK48" t="e">
        <f>AND(#REF!,"AAAAAF5/Zz4=")</f>
        <v>#REF!</v>
      </c>
      <c r="BL48" t="e">
        <f>AND(#REF!,"AAAAAF5/Zz8=")</f>
        <v>#REF!</v>
      </c>
      <c r="BM48" t="e">
        <f>AND(#REF!,"AAAAAF5/Z0A=")</f>
        <v>#REF!</v>
      </c>
      <c r="BN48" t="e">
        <f>AND(#REF!,"AAAAAF5/Z0E=")</f>
        <v>#REF!</v>
      </c>
      <c r="BO48" t="e">
        <f>AND(#REF!,"AAAAAF5/Z0I=")</f>
        <v>#REF!</v>
      </c>
      <c r="BP48" t="e">
        <f>AND(#REF!,"AAAAAF5/Z0M=")</f>
        <v>#REF!</v>
      </c>
      <c r="BQ48" t="e">
        <f>AND(#REF!,"AAAAAF5/Z0Q=")</f>
        <v>#REF!</v>
      </c>
      <c r="BR48" t="e">
        <f>AND(#REF!,"AAAAAF5/Z0U=")</f>
        <v>#REF!</v>
      </c>
      <c r="BS48" t="e">
        <f>AND(#REF!,"AAAAAF5/Z0Y=")</f>
        <v>#REF!</v>
      </c>
      <c r="BT48" t="e">
        <f>IF(#REF!,"AAAAAF5/Z0c=",0)</f>
        <v>#REF!</v>
      </c>
      <c r="BU48" t="e">
        <f>AND(#REF!,"AAAAAF5/Z0g=")</f>
        <v>#REF!</v>
      </c>
      <c r="BV48" t="e">
        <f>AND(#REF!,"AAAAAF5/Z0k=")</f>
        <v>#REF!</v>
      </c>
      <c r="BW48" t="e">
        <f>AND(#REF!,"AAAAAF5/Z0o=")</f>
        <v>#REF!</v>
      </c>
      <c r="BX48" t="e">
        <f>AND(#REF!,"AAAAAF5/Z0s=")</f>
        <v>#REF!</v>
      </c>
      <c r="BY48" t="e">
        <f>AND(#REF!,"AAAAAF5/Z0w=")</f>
        <v>#REF!</v>
      </c>
      <c r="BZ48" t="e">
        <f>AND(#REF!,"AAAAAF5/Z00=")</f>
        <v>#REF!</v>
      </c>
      <c r="CA48" t="e">
        <f>AND(#REF!,"AAAAAF5/Z04=")</f>
        <v>#REF!</v>
      </c>
      <c r="CB48" t="e">
        <f>AND(#REF!,"AAAAAF5/Z08=")</f>
        <v>#REF!</v>
      </c>
      <c r="CC48" t="e">
        <f>AND(#REF!,"AAAAAF5/Z1A=")</f>
        <v>#REF!</v>
      </c>
      <c r="CD48" t="e">
        <f>AND(#REF!,"AAAAAF5/Z1E=")</f>
        <v>#REF!</v>
      </c>
      <c r="CE48" t="e">
        <f>AND(#REF!,"AAAAAF5/Z1I=")</f>
        <v>#REF!</v>
      </c>
      <c r="CF48" t="e">
        <f>AND(#REF!,"AAAAAF5/Z1M=")</f>
        <v>#REF!</v>
      </c>
      <c r="CG48" t="e">
        <f>AND(#REF!,"AAAAAF5/Z1Q=")</f>
        <v>#REF!</v>
      </c>
      <c r="CH48" t="e">
        <f>AND(#REF!,"AAAAAF5/Z1U=")</f>
        <v>#REF!</v>
      </c>
      <c r="CI48" t="e">
        <f>AND(#REF!,"AAAAAF5/Z1Y=")</f>
        <v>#REF!</v>
      </c>
      <c r="CJ48" t="e">
        <f>AND(#REF!,"AAAAAF5/Z1c=")</f>
        <v>#REF!</v>
      </c>
      <c r="CK48" t="e">
        <f>AND(#REF!,"AAAAAF5/Z1g=")</f>
        <v>#REF!</v>
      </c>
      <c r="CL48" t="e">
        <f>AND(#REF!,"AAAAAF5/Z1k=")</f>
        <v>#REF!</v>
      </c>
      <c r="CM48" t="e">
        <f>AND(#REF!,"AAAAAF5/Z1o=")</f>
        <v>#REF!</v>
      </c>
      <c r="CN48" t="e">
        <f>AND(#REF!,"AAAAAF5/Z1s=")</f>
        <v>#REF!</v>
      </c>
      <c r="CO48" t="e">
        <f>AND(#REF!,"AAAAAF5/Z1w=")</f>
        <v>#REF!</v>
      </c>
      <c r="CP48" t="e">
        <f>AND(#REF!,"AAAAAF5/Z10=")</f>
        <v>#REF!</v>
      </c>
      <c r="CQ48" t="e">
        <f>AND(#REF!,"AAAAAF5/Z14=")</f>
        <v>#REF!</v>
      </c>
      <c r="CR48" t="e">
        <f>AND(#REF!,"AAAAAF5/Z18=")</f>
        <v>#REF!</v>
      </c>
      <c r="CS48" t="e">
        <f>AND(#REF!,"AAAAAF5/Z2A=")</f>
        <v>#REF!</v>
      </c>
      <c r="CT48" t="e">
        <f>AND(#REF!,"AAAAAF5/Z2E=")</f>
        <v>#REF!</v>
      </c>
      <c r="CU48" t="e">
        <f>AND(#REF!,"AAAAAF5/Z2I=")</f>
        <v>#REF!</v>
      </c>
      <c r="CV48" t="e">
        <f>AND(#REF!,"AAAAAF5/Z2M=")</f>
        <v>#REF!</v>
      </c>
      <c r="CW48" t="e">
        <f>AND(#REF!,"AAAAAF5/Z2Q=")</f>
        <v>#REF!</v>
      </c>
      <c r="CX48" t="e">
        <f>AND(#REF!,"AAAAAF5/Z2U=")</f>
        <v>#REF!</v>
      </c>
      <c r="CY48" t="e">
        <f>AND(#REF!,"AAAAAF5/Z2Y=")</f>
        <v>#REF!</v>
      </c>
      <c r="CZ48" t="e">
        <f>AND(#REF!,"AAAAAF5/Z2c=")</f>
        <v>#REF!</v>
      </c>
      <c r="DA48" t="e">
        <f>AND(#REF!,"AAAAAF5/Z2g=")</f>
        <v>#REF!</v>
      </c>
      <c r="DB48" t="e">
        <f>AND(#REF!,"AAAAAF5/Z2k=")</f>
        <v>#REF!</v>
      </c>
      <c r="DC48" t="e">
        <f>AND(#REF!,"AAAAAF5/Z2o=")</f>
        <v>#REF!</v>
      </c>
      <c r="DD48" t="e">
        <f>AND(#REF!,"AAAAAF5/Z2s=")</f>
        <v>#REF!</v>
      </c>
      <c r="DE48" t="e">
        <f>AND(#REF!,"AAAAAF5/Z2w=")</f>
        <v>#REF!</v>
      </c>
      <c r="DF48" t="e">
        <f>AND(#REF!,"AAAAAF5/Z20=")</f>
        <v>#REF!</v>
      </c>
      <c r="DG48" t="e">
        <f>AND(#REF!,"AAAAAF5/Z24=")</f>
        <v>#REF!</v>
      </c>
      <c r="DH48" t="e">
        <f>AND(#REF!,"AAAAAF5/Z28=")</f>
        <v>#REF!</v>
      </c>
      <c r="DI48" t="e">
        <f>AND(#REF!,"AAAAAF5/Z3A=")</f>
        <v>#REF!</v>
      </c>
      <c r="DJ48" t="e">
        <f>AND(#REF!,"AAAAAF5/Z3E=")</f>
        <v>#REF!</v>
      </c>
      <c r="DK48" t="e">
        <f>AND(#REF!,"AAAAAF5/Z3I=")</f>
        <v>#REF!</v>
      </c>
      <c r="DL48" t="e">
        <f>AND(#REF!,"AAAAAF5/Z3M=")</f>
        <v>#REF!</v>
      </c>
      <c r="DM48" t="e">
        <f>AND(#REF!,"AAAAAF5/Z3Q=")</f>
        <v>#REF!</v>
      </c>
      <c r="DN48" t="e">
        <f>AND(#REF!,"AAAAAF5/Z3U=")</f>
        <v>#REF!</v>
      </c>
      <c r="DO48" t="e">
        <f>AND(#REF!,"AAAAAF5/Z3Y=")</f>
        <v>#REF!</v>
      </c>
      <c r="DP48" t="e">
        <f>AND(#REF!,"AAAAAF5/Z3c=")</f>
        <v>#REF!</v>
      </c>
      <c r="DQ48" t="e">
        <f>AND(#REF!,"AAAAAF5/Z3g=")</f>
        <v>#REF!</v>
      </c>
      <c r="DR48" t="e">
        <f>AND(#REF!,"AAAAAF5/Z3k=")</f>
        <v>#REF!</v>
      </c>
      <c r="DS48" t="e">
        <f>AND(#REF!,"AAAAAF5/Z3o=")</f>
        <v>#REF!</v>
      </c>
      <c r="DT48" t="e">
        <f>AND(#REF!,"AAAAAF5/Z3s=")</f>
        <v>#REF!</v>
      </c>
      <c r="DU48" t="e">
        <f>AND(#REF!,"AAAAAF5/Z3w=")</f>
        <v>#REF!</v>
      </c>
      <c r="DV48" t="e">
        <f>AND(#REF!,"AAAAAF5/Z30=")</f>
        <v>#REF!</v>
      </c>
      <c r="DW48" t="e">
        <f>AND(#REF!,"AAAAAF5/Z34=")</f>
        <v>#REF!</v>
      </c>
      <c r="DX48" t="e">
        <f>AND(#REF!,"AAAAAF5/Z38=")</f>
        <v>#REF!</v>
      </c>
      <c r="DY48" t="e">
        <f>AND(#REF!,"AAAAAF5/Z4A=")</f>
        <v>#REF!</v>
      </c>
      <c r="DZ48" t="e">
        <f>AND(#REF!,"AAAAAF5/Z4E=")</f>
        <v>#REF!</v>
      </c>
      <c r="EA48" t="e">
        <f>AND(#REF!,"AAAAAF5/Z4I=")</f>
        <v>#REF!</v>
      </c>
      <c r="EB48" t="e">
        <f>AND(#REF!,"AAAAAF5/Z4M=")</f>
        <v>#REF!</v>
      </c>
      <c r="EC48" t="e">
        <f>AND(#REF!,"AAAAAF5/Z4Q=")</f>
        <v>#REF!</v>
      </c>
      <c r="ED48" t="e">
        <f>AND(#REF!,"AAAAAF5/Z4U=")</f>
        <v>#REF!</v>
      </c>
      <c r="EE48" t="e">
        <f>AND(#REF!,"AAAAAF5/Z4Y=")</f>
        <v>#REF!</v>
      </c>
      <c r="EF48" t="e">
        <f>AND(#REF!,"AAAAAF5/Z4c=")</f>
        <v>#REF!</v>
      </c>
      <c r="EG48" t="e">
        <f>AND(#REF!,"AAAAAF5/Z4g=")</f>
        <v>#REF!</v>
      </c>
      <c r="EH48" t="e">
        <f>AND(#REF!,"AAAAAF5/Z4k=")</f>
        <v>#REF!</v>
      </c>
      <c r="EI48" t="e">
        <f>AND(#REF!,"AAAAAF5/Z4o=")</f>
        <v>#REF!</v>
      </c>
      <c r="EJ48" t="e">
        <f>AND(#REF!,"AAAAAF5/Z4s=")</f>
        <v>#REF!</v>
      </c>
      <c r="EK48" t="e">
        <f>AND(#REF!,"AAAAAF5/Z4w=")</f>
        <v>#REF!</v>
      </c>
      <c r="EL48" t="e">
        <f>AND(#REF!,"AAAAAF5/Z40=")</f>
        <v>#REF!</v>
      </c>
      <c r="EM48" t="e">
        <f>AND(#REF!,"AAAAAF5/Z44=")</f>
        <v>#REF!</v>
      </c>
      <c r="EN48" t="e">
        <f>AND(#REF!,"AAAAAF5/Z48=")</f>
        <v>#REF!</v>
      </c>
      <c r="EO48" t="e">
        <f>AND(#REF!,"AAAAAF5/Z5A=")</f>
        <v>#REF!</v>
      </c>
      <c r="EP48" t="e">
        <f>AND(#REF!,"AAAAAF5/Z5E=")</f>
        <v>#REF!</v>
      </c>
      <c r="EQ48" t="e">
        <f>AND(#REF!,"AAAAAF5/Z5I=")</f>
        <v>#REF!</v>
      </c>
      <c r="ER48" t="e">
        <f>AND(#REF!,"AAAAAF5/Z5M=")</f>
        <v>#REF!</v>
      </c>
      <c r="ES48" t="e">
        <f>AND(#REF!,"AAAAAF5/Z5Q=")</f>
        <v>#REF!</v>
      </c>
      <c r="ET48" t="e">
        <f>AND(#REF!,"AAAAAF5/Z5U=")</f>
        <v>#REF!</v>
      </c>
      <c r="EU48" t="e">
        <f>AND(#REF!,"AAAAAF5/Z5Y=")</f>
        <v>#REF!</v>
      </c>
      <c r="EV48" t="e">
        <f>AND(#REF!,"AAAAAF5/Z5c=")</f>
        <v>#REF!</v>
      </c>
      <c r="EW48" t="e">
        <f>AND(#REF!,"AAAAAF5/Z5g=")</f>
        <v>#REF!</v>
      </c>
      <c r="EX48" t="e">
        <f>AND(#REF!,"AAAAAF5/Z5k=")</f>
        <v>#REF!</v>
      </c>
      <c r="EY48" t="e">
        <f>AND(#REF!,"AAAAAF5/Z5o=")</f>
        <v>#REF!</v>
      </c>
      <c r="EZ48" t="e">
        <f>AND(#REF!,"AAAAAF5/Z5s=")</f>
        <v>#REF!</v>
      </c>
      <c r="FA48" t="e">
        <f>AND(#REF!,"AAAAAF5/Z5w=")</f>
        <v>#REF!</v>
      </c>
      <c r="FB48" t="e">
        <f>AND(#REF!,"AAAAAF5/Z50=")</f>
        <v>#REF!</v>
      </c>
      <c r="FC48" t="e">
        <f>AND(#REF!,"AAAAAF5/Z54=")</f>
        <v>#REF!</v>
      </c>
      <c r="FD48" t="e">
        <f>AND(#REF!,"AAAAAF5/Z58=")</f>
        <v>#REF!</v>
      </c>
      <c r="FE48" t="e">
        <f>AND(#REF!,"AAAAAF5/Z6A=")</f>
        <v>#REF!</v>
      </c>
      <c r="FF48" t="e">
        <f>AND(#REF!,"AAAAAF5/Z6E=")</f>
        <v>#REF!</v>
      </c>
      <c r="FG48" t="e">
        <f>AND(#REF!,"AAAAAF5/Z6I=")</f>
        <v>#REF!</v>
      </c>
      <c r="FH48" t="e">
        <f>AND(#REF!,"AAAAAF5/Z6M=")</f>
        <v>#REF!</v>
      </c>
      <c r="FI48" t="e">
        <f>AND(#REF!,"AAAAAF5/Z6Q=")</f>
        <v>#REF!</v>
      </c>
      <c r="FJ48" t="e">
        <f>AND(#REF!,"AAAAAF5/Z6U=")</f>
        <v>#REF!</v>
      </c>
      <c r="FK48" t="e">
        <f>AND(#REF!,"AAAAAF5/Z6Y=")</f>
        <v>#REF!</v>
      </c>
      <c r="FL48" t="e">
        <f>AND(#REF!,"AAAAAF5/Z6c=")</f>
        <v>#REF!</v>
      </c>
      <c r="FM48" t="e">
        <f>AND(#REF!,"AAAAAF5/Z6g=")</f>
        <v>#REF!</v>
      </c>
      <c r="FN48" t="e">
        <f>AND(#REF!,"AAAAAF5/Z6k=")</f>
        <v>#REF!</v>
      </c>
      <c r="FO48" t="e">
        <f>AND(#REF!,"AAAAAF5/Z6o=")</f>
        <v>#REF!</v>
      </c>
      <c r="FP48" t="e">
        <f>AND(#REF!,"AAAAAF5/Z6s=")</f>
        <v>#REF!</v>
      </c>
      <c r="FQ48" t="e">
        <f>AND(#REF!,"AAAAAF5/Z6w=")</f>
        <v>#REF!</v>
      </c>
      <c r="FR48" t="e">
        <f>AND(#REF!,"AAAAAF5/Z60=")</f>
        <v>#REF!</v>
      </c>
      <c r="FS48" t="e">
        <f>AND(#REF!,"AAAAAF5/Z64=")</f>
        <v>#REF!</v>
      </c>
      <c r="FT48" t="e">
        <f>AND(#REF!,"AAAAAF5/Z68=")</f>
        <v>#REF!</v>
      </c>
      <c r="FU48" t="e">
        <f>AND(#REF!,"AAAAAF5/Z7A=")</f>
        <v>#REF!</v>
      </c>
      <c r="FV48" t="e">
        <f>AND(#REF!,"AAAAAF5/Z7E=")</f>
        <v>#REF!</v>
      </c>
      <c r="FW48" t="e">
        <f>AND(#REF!,"AAAAAF5/Z7I=")</f>
        <v>#REF!</v>
      </c>
      <c r="FX48" t="e">
        <f>AND(#REF!,"AAAAAF5/Z7M=")</f>
        <v>#REF!</v>
      </c>
      <c r="FY48" t="e">
        <f>AND(#REF!,"AAAAAF5/Z7Q=")</f>
        <v>#REF!</v>
      </c>
      <c r="FZ48" t="e">
        <f>AND(#REF!,"AAAAAF5/Z7U=")</f>
        <v>#REF!</v>
      </c>
      <c r="GA48" t="e">
        <f>AND(#REF!,"AAAAAF5/Z7Y=")</f>
        <v>#REF!</v>
      </c>
      <c r="GB48" t="e">
        <f>AND(#REF!,"AAAAAF5/Z7c=")</f>
        <v>#REF!</v>
      </c>
      <c r="GC48" t="e">
        <f>AND(#REF!,"AAAAAF5/Z7g=")</f>
        <v>#REF!</v>
      </c>
      <c r="GD48" t="e">
        <f>AND(#REF!,"AAAAAF5/Z7k=")</f>
        <v>#REF!</v>
      </c>
      <c r="GE48" t="e">
        <f>AND(#REF!,"AAAAAF5/Z7o=")</f>
        <v>#REF!</v>
      </c>
      <c r="GF48" t="e">
        <f>AND(#REF!,"AAAAAF5/Z7s=")</f>
        <v>#REF!</v>
      </c>
      <c r="GG48" t="e">
        <f>AND(#REF!,"AAAAAF5/Z7w=")</f>
        <v>#REF!</v>
      </c>
      <c r="GH48" t="e">
        <f>AND(#REF!,"AAAAAF5/Z70=")</f>
        <v>#REF!</v>
      </c>
      <c r="GI48" t="e">
        <f>AND(#REF!,"AAAAAF5/Z74=")</f>
        <v>#REF!</v>
      </c>
      <c r="GJ48" t="e">
        <f>AND(#REF!,"AAAAAF5/Z78=")</f>
        <v>#REF!</v>
      </c>
      <c r="GK48" t="e">
        <f>AND(#REF!,"AAAAAF5/Z8A=")</f>
        <v>#REF!</v>
      </c>
      <c r="GL48" t="e">
        <f>AND(#REF!,"AAAAAF5/Z8E=")</f>
        <v>#REF!</v>
      </c>
      <c r="GM48" t="e">
        <f>AND(#REF!,"AAAAAF5/Z8I=")</f>
        <v>#REF!</v>
      </c>
      <c r="GN48" t="e">
        <f>AND(#REF!,"AAAAAF5/Z8M=")</f>
        <v>#REF!</v>
      </c>
      <c r="GO48" t="e">
        <f>AND(#REF!,"AAAAAF5/Z8Q=")</f>
        <v>#REF!</v>
      </c>
      <c r="GP48" t="e">
        <f>AND(#REF!,"AAAAAF5/Z8U=")</f>
        <v>#REF!</v>
      </c>
      <c r="GQ48" t="e">
        <f>AND(#REF!,"AAAAAF5/Z8Y=")</f>
        <v>#REF!</v>
      </c>
      <c r="GR48" t="e">
        <f>AND(#REF!,"AAAAAF5/Z8c=")</f>
        <v>#REF!</v>
      </c>
      <c r="GS48" t="e">
        <f>AND(#REF!,"AAAAAF5/Z8g=")</f>
        <v>#REF!</v>
      </c>
      <c r="GT48" t="e">
        <f>AND(#REF!,"AAAAAF5/Z8k=")</f>
        <v>#REF!</v>
      </c>
      <c r="GU48" t="e">
        <f>AND(#REF!,"AAAAAF5/Z8o=")</f>
        <v>#REF!</v>
      </c>
      <c r="GV48" t="e">
        <f>AND(#REF!,"AAAAAF5/Z8s=")</f>
        <v>#REF!</v>
      </c>
      <c r="GW48" t="e">
        <f>AND(#REF!,"AAAAAF5/Z8w=")</f>
        <v>#REF!</v>
      </c>
      <c r="GX48" t="e">
        <f>AND(#REF!,"AAAAAF5/Z80=")</f>
        <v>#REF!</v>
      </c>
      <c r="GY48" t="e">
        <f>AND(#REF!,"AAAAAF5/Z84=")</f>
        <v>#REF!</v>
      </c>
      <c r="GZ48" t="e">
        <f>IF(#REF!,"AAAAAF5/Z88=",0)</f>
        <v>#REF!</v>
      </c>
      <c r="HA48" t="e">
        <f>AND(#REF!,"AAAAAF5/Z9A=")</f>
        <v>#REF!</v>
      </c>
      <c r="HB48" t="e">
        <f>AND(#REF!,"AAAAAF5/Z9E=")</f>
        <v>#REF!</v>
      </c>
      <c r="HC48" t="e">
        <f>AND(#REF!,"AAAAAF5/Z9I=")</f>
        <v>#REF!</v>
      </c>
      <c r="HD48" t="e">
        <f>AND(#REF!,"AAAAAF5/Z9M=")</f>
        <v>#REF!</v>
      </c>
      <c r="HE48" t="e">
        <f>AND(#REF!,"AAAAAF5/Z9Q=")</f>
        <v>#REF!</v>
      </c>
      <c r="HF48" t="e">
        <f>AND(#REF!,"AAAAAF5/Z9U=")</f>
        <v>#REF!</v>
      </c>
      <c r="HG48" t="e">
        <f>AND(#REF!,"AAAAAF5/Z9Y=")</f>
        <v>#REF!</v>
      </c>
      <c r="HH48" t="e">
        <f>AND(#REF!,"AAAAAF5/Z9c=")</f>
        <v>#REF!</v>
      </c>
      <c r="HI48" t="e">
        <f>AND(#REF!,"AAAAAF5/Z9g=")</f>
        <v>#REF!</v>
      </c>
      <c r="HJ48" t="e">
        <f>AND(#REF!,"AAAAAF5/Z9k=")</f>
        <v>#REF!</v>
      </c>
      <c r="HK48" t="e">
        <f>AND(#REF!,"AAAAAF5/Z9o=")</f>
        <v>#REF!</v>
      </c>
      <c r="HL48" t="e">
        <f>AND(#REF!,"AAAAAF5/Z9s=")</f>
        <v>#REF!</v>
      </c>
      <c r="HM48" t="e">
        <f>AND(#REF!,"AAAAAF5/Z9w=")</f>
        <v>#REF!</v>
      </c>
      <c r="HN48" t="e">
        <f>AND(#REF!,"AAAAAF5/Z90=")</f>
        <v>#REF!</v>
      </c>
      <c r="HO48" t="e">
        <f>AND(#REF!,"AAAAAF5/Z94=")</f>
        <v>#REF!</v>
      </c>
      <c r="HP48" t="e">
        <f>AND(#REF!,"AAAAAF5/Z98=")</f>
        <v>#REF!</v>
      </c>
      <c r="HQ48" t="e">
        <f>AND(#REF!,"AAAAAF5/Z+A=")</f>
        <v>#REF!</v>
      </c>
      <c r="HR48" t="e">
        <f>AND(#REF!,"AAAAAF5/Z+E=")</f>
        <v>#REF!</v>
      </c>
      <c r="HS48" t="e">
        <f>AND(#REF!,"AAAAAF5/Z+I=")</f>
        <v>#REF!</v>
      </c>
      <c r="HT48" t="e">
        <f>AND(#REF!,"AAAAAF5/Z+M=")</f>
        <v>#REF!</v>
      </c>
      <c r="HU48" t="e">
        <f>AND(#REF!,"AAAAAF5/Z+Q=")</f>
        <v>#REF!</v>
      </c>
      <c r="HV48" t="e">
        <f>AND(#REF!,"AAAAAF5/Z+U=")</f>
        <v>#REF!</v>
      </c>
      <c r="HW48" t="e">
        <f>AND(#REF!,"AAAAAF5/Z+Y=")</f>
        <v>#REF!</v>
      </c>
      <c r="HX48" t="e">
        <f>AND(#REF!,"AAAAAF5/Z+c=")</f>
        <v>#REF!</v>
      </c>
      <c r="HY48" t="e">
        <f>AND(#REF!,"AAAAAF5/Z+g=")</f>
        <v>#REF!</v>
      </c>
      <c r="HZ48" t="e">
        <f>AND(#REF!,"AAAAAF5/Z+k=")</f>
        <v>#REF!</v>
      </c>
      <c r="IA48" t="e">
        <f>AND(#REF!,"AAAAAF5/Z+o=")</f>
        <v>#REF!</v>
      </c>
      <c r="IB48" t="e">
        <f>AND(#REF!,"AAAAAF5/Z+s=")</f>
        <v>#REF!</v>
      </c>
      <c r="IC48" t="e">
        <f>AND(#REF!,"AAAAAF5/Z+w=")</f>
        <v>#REF!</v>
      </c>
      <c r="ID48" t="e">
        <f>AND(#REF!,"AAAAAF5/Z+0=")</f>
        <v>#REF!</v>
      </c>
      <c r="IE48" t="e">
        <f>AND(#REF!,"AAAAAF5/Z+4=")</f>
        <v>#REF!</v>
      </c>
      <c r="IF48" t="e">
        <f>AND(#REF!,"AAAAAF5/Z+8=")</f>
        <v>#REF!</v>
      </c>
      <c r="IG48" t="e">
        <f>AND(#REF!,"AAAAAF5/Z/A=")</f>
        <v>#REF!</v>
      </c>
      <c r="IH48" t="e">
        <f>AND(#REF!,"AAAAAF5/Z/E=")</f>
        <v>#REF!</v>
      </c>
      <c r="II48" t="e">
        <f>AND(#REF!,"AAAAAF5/Z/I=")</f>
        <v>#REF!</v>
      </c>
      <c r="IJ48" t="e">
        <f>AND(#REF!,"AAAAAF5/Z/M=")</f>
        <v>#REF!</v>
      </c>
      <c r="IK48" t="e">
        <f>AND(#REF!,"AAAAAF5/Z/Q=")</f>
        <v>#REF!</v>
      </c>
      <c r="IL48" t="e">
        <f>AND(#REF!,"AAAAAF5/Z/U=")</f>
        <v>#REF!</v>
      </c>
      <c r="IM48" t="e">
        <f>AND(#REF!,"AAAAAF5/Z/Y=")</f>
        <v>#REF!</v>
      </c>
      <c r="IN48" t="e">
        <f>AND(#REF!,"AAAAAF5/Z/c=")</f>
        <v>#REF!</v>
      </c>
      <c r="IO48" t="e">
        <f>AND(#REF!,"AAAAAF5/Z/g=")</f>
        <v>#REF!</v>
      </c>
      <c r="IP48" t="e">
        <f>AND(#REF!,"AAAAAF5/Z/k=")</f>
        <v>#REF!</v>
      </c>
      <c r="IQ48" t="e">
        <f>AND(#REF!,"AAAAAF5/Z/o=")</f>
        <v>#REF!</v>
      </c>
      <c r="IR48" t="e">
        <f>AND(#REF!,"AAAAAF5/Z/s=")</f>
        <v>#REF!</v>
      </c>
      <c r="IS48" t="e">
        <f>AND(#REF!,"AAAAAF5/Z/w=")</f>
        <v>#REF!</v>
      </c>
      <c r="IT48" t="e">
        <f>AND(#REF!,"AAAAAF5/Z/0=")</f>
        <v>#REF!</v>
      </c>
      <c r="IU48" t="e">
        <f>AND(#REF!,"AAAAAF5/Z/4=")</f>
        <v>#REF!</v>
      </c>
      <c r="IV48" t="e">
        <f>AND(#REF!,"AAAAAF5/Z/8=")</f>
        <v>#REF!</v>
      </c>
    </row>
    <row r="49" spans="1:256" ht="15">
      <c r="A49" t="e">
        <f>AND(#REF!,"AAAAADv3awA=")</f>
        <v>#REF!</v>
      </c>
      <c r="B49" t="e">
        <f>AND(#REF!,"AAAAADv3awE=")</f>
        <v>#REF!</v>
      </c>
      <c r="C49" t="e">
        <f>AND(#REF!,"AAAAADv3awI=")</f>
        <v>#REF!</v>
      </c>
      <c r="D49" t="e">
        <f>AND(#REF!,"AAAAADv3awM=")</f>
        <v>#REF!</v>
      </c>
      <c r="E49" t="e">
        <f>AND(#REF!,"AAAAADv3awQ=")</f>
        <v>#REF!</v>
      </c>
      <c r="F49" t="e">
        <f>AND(#REF!,"AAAAADv3awU=")</f>
        <v>#REF!</v>
      </c>
      <c r="G49" t="e">
        <f>AND(#REF!,"AAAAADv3awY=")</f>
        <v>#REF!</v>
      </c>
      <c r="H49" t="e">
        <f>AND(#REF!,"AAAAADv3awc=")</f>
        <v>#REF!</v>
      </c>
      <c r="I49" t="e">
        <f>AND(#REF!,"AAAAADv3awg=")</f>
        <v>#REF!</v>
      </c>
      <c r="J49" t="e">
        <f>AND(#REF!,"AAAAADv3awk=")</f>
        <v>#REF!</v>
      </c>
      <c r="K49" t="e">
        <f>AND(#REF!,"AAAAADv3awo=")</f>
        <v>#REF!</v>
      </c>
      <c r="L49" t="e">
        <f>AND(#REF!,"AAAAADv3aws=")</f>
        <v>#REF!</v>
      </c>
      <c r="M49" t="e">
        <f>AND(#REF!,"AAAAADv3aww=")</f>
        <v>#REF!</v>
      </c>
      <c r="N49" t="e">
        <f>AND(#REF!,"AAAAADv3aw0=")</f>
        <v>#REF!</v>
      </c>
      <c r="O49" t="e">
        <f>AND(#REF!,"AAAAADv3aw4=")</f>
        <v>#REF!</v>
      </c>
      <c r="P49" t="e">
        <f>AND(#REF!,"AAAAADv3aw8=")</f>
        <v>#REF!</v>
      </c>
      <c r="Q49" t="e">
        <f>AND(#REF!,"AAAAADv3axA=")</f>
        <v>#REF!</v>
      </c>
      <c r="R49" t="e">
        <f>AND(#REF!,"AAAAADv3axE=")</f>
        <v>#REF!</v>
      </c>
      <c r="S49" t="e">
        <f>AND(#REF!,"AAAAADv3axI=")</f>
        <v>#REF!</v>
      </c>
      <c r="T49" t="e">
        <f>AND(#REF!,"AAAAADv3axM=")</f>
        <v>#REF!</v>
      </c>
      <c r="U49" t="e">
        <f>AND(#REF!,"AAAAADv3axQ=")</f>
        <v>#REF!</v>
      </c>
      <c r="V49" t="e">
        <f>AND(#REF!,"AAAAADv3axU=")</f>
        <v>#REF!</v>
      </c>
      <c r="W49" t="e">
        <f>AND(#REF!,"AAAAADv3axY=")</f>
        <v>#REF!</v>
      </c>
      <c r="X49" t="e">
        <f>AND(#REF!,"AAAAADv3axc=")</f>
        <v>#REF!</v>
      </c>
      <c r="Y49" t="e">
        <f>AND(#REF!,"AAAAADv3axg=")</f>
        <v>#REF!</v>
      </c>
      <c r="Z49" t="e">
        <f>AND(#REF!,"AAAAADv3axk=")</f>
        <v>#REF!</v>
      </c>
      <c r="AA49" t="e">
        <f>AND(#REF!,"AAAAADv3axo=")</f>
        <v>#REF!</v>
      </c>
      <c r="AB49" t="e">
        <f>AND(#REF!,"AAAAADv3axs=")</f>
        <v>#REF!</v>
      </c>
      <c r="AC49" t="e">
        <f>AND(#REF!,"AAAAADv3axw=")</f>
        <v>#REF!</v>
      </c>
      <c r="AD49" t="e">
        <f>AND(#REF!,"AAAAADv3ax0=")</f>
        <v>#REF!</v>
      </c>
      <c r="AE49" t="e">
        <f>AND(#REF!,"AAAAADv3ax4=")</f>
        <v>#REF!</v>
      </c>
      <c r="AF49" t="e">
        <f>AND(#REF!,"AAAAADv3ax8=")</f>
        <v>#REF!</v>
      </c>
      <c r="AG49" t="e">
        <f>AND(#REF!,"AAAAADv3ayA=")</f>
        <v>#REF!</v>
      </c>
      <c r="AH49" t="e">
        <f>AND(#REF!,"AAAAADv3ayE=")</f>
        <v>#REF!</v>
      </c>
      <c r="AI49" t="e">
        <f>AND(#REF!,"AAAAADv3ayI=")</f>
        <v>#REF!</v>
      </c>
      <c r="AJ49" t="e">
        <f>AND(#REF!,"AAAAADv3ayM=")</f>
        <v>#REF!</v>
      </c>
      <c r="AK49" t="e">
        <f>AND(#REF!,"AAAAADv3ayQ=")</f>
        <v>#REF!</v>
      </c>
      <c r="AL49" t="e">
        <f>AND(#REF!,"AAAAADv3ayU=")</f>
        <v>#REF!</v>
      </c>
      <c r="AM49" t="e">
        <f>AND(#REF!,"AAAAADv3ayY=")</f>
        <v>#REF!</v>
      </c>
      <c r="AN49" t="e">
        <f>AND(#REF!,"AAAAADv3ayc=")</f>
        <v>#REF!</v>
      </c>
      <c r="AO49" t="e">
        <f>AND(#REF!,"AAAAADv3ayg=")</f>
        <v>#REF!</v>
      </c>
      <c r="AP49" t="e">
        <f>AND(#REF!,"AAAAADv3ayk=")</f>
        <v>#REF!</v>
      </c>
      <c r="AQ49" t="e">
        <f>AND(#REF!,"AAAAADv3ayo=")</f>
        <v>#REF!</v>
      </c>
      <c r="AR49" t="e">
        <f>AND(#REF!,"AAAAADv3ays=")</f>
        <v>#REF!</v>
      </c>
      <c r="AS49" t="e">
        <f>AND(#REF!,"AAAAADv3ayw=")</f>
        <v>#REF!</v>
      </c>
      <c r="AT49" t="e">
        <f>AND(#REF!,"AAAAADv3ay0=")</f>
        <v>#REF!</v>
      </c>
      <c r="AU49" t="e">
        <f>AND(#REF!,"AAAAADv3ay4=")</f>
        <v>#REF!</v>
      </c>
      <c r="AV49" t="e">
        <f>AND(#REF!,"AAAAADv3ay8=")</f>
        <v>#REF!</v>
      </c>
      <c r="AW49" t="e">
        <f>AND(#REF!,"AAAAADv3azA=")</f>
        <v>#REF!</v>
      </c>
      <c r="AX49" t="e">
        <f>AND(#REF!,"AAAAADv3azE=")</f>
        <v>#REF!</v>
      </c>
      <c r="AY49" t="e">
        <f>AND(#REF!,"AAAAADv3azI=")</f>
        <v>#REF!</v>
      </c>
      <c r="AZ49" t="e">
        <f>AND(#REF!,"AAAAADv3azM=")</f>
        <v>#REF!</v>
      </c>
      <c r="BA49" t="e">
        <f>AND(#REF!,"AAAAADv3azQ=")</f>
        <v>#REF!</v>
      </c>
      <c r="BB49" t="e">
        <f>AND(#REF!,"AAAAADv3azU=")</f>
        <v>#REF!</v>
      </c>
      <c r="BC49" t="e">
        <f>AND(#REF!,"AAAAADv3azY=")</f>
        <v>#REF!</v>
      </c>
      <c r="BD49" t="e">
        <f>AND(#REF!,"AAAAADv3azc=")</f>
        <v>#REF!</v>
      </c>
      <c r="BE49" t="e">
        <f>AND(#REF!,"AAAAADv3azg=")</f>
        <v>#REF!</v>
      </c>
      <c r="BF49" t="e">
        <f>AND(#REF!,"AAAAADv3azk=")</f>
        <v>#REF!</v>
      </c>
      <c r="BG49" t="e">
        <f>AND(#REF!,"AAAAADv3azo=")</f>
        <v>#REF!</v>
      </c>
      <c r="BH49" t="e">
        <f>AND(#REF!,"AAAAADv3azs=")</f>
        <v>#REF!</v>
      </c>
      <c r="BI49" t="e">
        <f>AND(#REF!,"AAAAADv3azw=")</f>
        <v>#REF!</v>
      </c>
      <c r="BJ49" t="e">
        <f>AND(#REF!,"AAAAADv3az0=")</f>
        <v>#REF!</v>
      </c>
      <c r="BK49" t="e">
        <f>AND(#REF!,"AAAAADv3az4=")</f>
        <v>#REF!</v>
      </c>
      <c r="BL49" t="e">
        <f>AND(#REF!,"AAAAADv3az8=")</f>
        <v>#REF!</v>
      </c>
      <c r="BM49" t="e">
        <f>AND(#REF!,"AAAAADv3a0A=")</f>
        <v>#REF!</v>
      </c>
      <c r="BN49" t="e">
        <f>AND(#REF!,"AAAAADv3a0E=")</f>
        <v>#REF!</v>
      </c>
      <c r="BO49" t="e">
        <f>AND(#REF!,"AAAAADv3a0I=")</f>
        <v>#REF!</v>
      </c>
      <c r="BP49" t="e">
        <f>AND(#REF!,"AAAAADv3a0M=")</f>
        <v>#REF!</v>
      </c>
      <c r="BQ49" t="e">
        <f>AND(#REF!,"AAAAADv3a0Q=")</f>
        <v>#REF!</v>
      </c>
      <c r="BR49" t="e">
        <f>AND(#REF!,"AAAAADv3a0U=")</f>
        <v>#REF!</v>
      </c>
      <c r="BS49" t="e">
        <f>AND(#REF!,"AAAAADv3a0Y=")</f>
        <v>#REF!</v>
      </c>
      <c r="BT49" t="e">
        <f>AND(#REF!,"AAAAADv3a0c=")</f>
        <v>#REF!</v>
      </c>
      <c r="BU49" t="e">
        <f>AND(#REF!,"AAAAADv3a0g=")</f>
        <v>#REF!</v>
      </c>
      <c r="BV49" t="e">
        <f>AND(#REF!,"AAAAADv3a0k=")</f>
        <v>#REF!</v>
      </c>
      <c r="BW49" t="e">
        <f>AND(#REF!,"AAAAADv3a0o=")</f>
        <v>#REF!</v>
      </c>
      <c r="BX49" t="e">
        <f>AND(#REF!,"AAAAADv3a0s=")</f>
        <v>#REF!</v>
      </c>
      <c r="BY49" t="e">
        <f>AND(#REF!,"AAAAADv3a0w=")</f>
        <v>#REF!</v>
      </c>
      <c r="BZ49" t="e">
        <f>AND(#REF!,"AAAAADv3a00=")</f>
        <v>#REF!</v>
      </c>
      <c r="CA49" t="e">
        <f>AND(#REF!,"AAAAADv3a04=")</f>
        <v>#REF!</v>
      </c>
      <c r="CB49" t="e">
        <f>AND(#REF!,"AAAAADv3a08=")</f>
        <v>#REF!</v>
      </c>
      <c r="CC49" t="e">
        <f>AND(#REF!,"AAAAADv3a1A=")</f>
        <v>#REF!</v>
      </c>
      <c r="CD49" t="e">
        <f>AND(#REF!,"AAAAADv3a1E=")</f>
        <v>#REF!</v>
      </c>
      <c r="CE49" t="e">
        <f>AND(#REF!,"AAAAADv3a1I=")</f>
        <v>#REF!</v>
      </c>
      <c r="CF49" t="e">
        <f>AND(#REF!,"AAAAADv3a1M=")</f>
        <v>#REF!</v>
      </c>
      <c r="CG49" t="e">
        <f>AND(#REF!,"AAAAADv3a1Q=")</f>
        <v>#REF!</v>
      </c>
      <c r="CH49" t="e">
        <f>AND(#REF!,"AAAAADv3a1U=")</f>
        <v>#REF!</v>
      </c>
      <c r="CI49" t="e">
        <f>AND(#REF!,"AAAAADv3a1Y=")</f>
        <v>#REF!</v>
      </c>
      <c r="CJ49" t="e">
        <f>IF(#REF!,"AAAAADv3a1c=",0)</f>
        <v>#REF!</v>
      </c>
      <c r="CK49" t="e">
        <f>AND(#REF!,"AAAAADv3a1g=")</f>
        <v>#REF!</v>
      </c>
      <c r="CL49" t="e">
        <f>AND(#REF!,"AAAAADv3a1k=")</f>
        <v>#REF!</v>
      </c>
      <c r="CM49" t="e">
        <f>AND(#REF!,"AAAAADv3a1o=")</f>
        <v>#REF!</v>
      </c>
      <c r="CN49" t="e">
        <f>AND(#REF!,"AAAAADv3a1s=")</f>
        <v>#REF!</v>
      </c>
      <c r="CO49" t="e">
        <f>AND(#REF!,"AAAAADv3a1w=")</f>
        <v>#REF!</v>
      </c>
      <c r="CP49" t="e">
        <f>AND(#REF!,"AAAAADv3a10=")</f>
        <v>#REF!</v>
      </c>
      <c r="CQ49" t="e">
        <f>AND(#REF!,"AAAAADv3a14=")</f>
        <v>#REF!</v>
      </c>
      <c r="CR49" t="e">
        <f>AND(#REF!,"AAAAADv3a18=")</f>
        <v>#REF!</v>
      </c>
      <c r="CS49" t="e">
        <f>AND(#REF!,"AAAAADv3a2A=")</f>
        <v>#REF!</v>
      </c>
      <c r="CT49" t="e">
        <f>AND(#REF!,"AAAAADv3a2E=")</f>
        <v>#REF!</v>
      </c>
      <c r="CU49" t="e">
        <f>AND(#REF!,"AAAAADv3a2I=")</f>
        <v>#REF!</v>
      </c>
      <c r="CV49" t="e">
        <f>AND(#REF!,"AAAAADv3a2M=")</f>
        <v>#REF!</v>
      </c>
      <c r="CW49" t="e">
        <f>AND(#REF!,"AAAAADv3a2Q=")</f>
        <v>#REF!</v>
      </c>
      <c r="CX49" t="e">
        <f>AND(#REF!,"AAAAADv3a2U=")</f>
        <v>#REF!</v>
      </c>
      <c r="CY49" t="e">
        <f>AND(#REF!,"AAAAADv3a2Y=")</f>
        <v>#REF!</v>
      </c>
      <c r="CZ49" t="e">
        <f>AND(#REF!,"AAAAADv3a2c=")</f>
        <v>#REF!</v>
      </c>
      <c r="DA49" t="e">
        <f>AND(#REF!,"AAAAADv3a2g=")</f>
        <v>#REF!</v>
      </c>
      <c r="DB49" t="e">
        <f>AND(#REF!,"AAAAADv3a2k=")</f>
        <v>#REF!</v>
      </c>
      <c r="DC49" t="e">
        <f>AND(#REF!,"AAAAADv3a2o=")</f>
        <v>#REF!</v>
      </c>
      <c r="DD49" t="e">
        <f>AND(#REF!,"AAAAADv3a2s=")</f>
        <v>#REF!</v>
      </c>
      <c r="DE49" t="e">
        <f>AND(#REF!,"AAAAADv3a2w=")</f>
        <v>#REF!</v>
      </c>
      <c r="DF49" t="e">
        <f>AND(#REF!,"AAAAADv3a20=")</f>
        <v>#REF!</v>
      </c>
      <c r="DG49" t="e">
        <f>AND(#REF!,"AAAAADv3a24=")</f>
        <v>#REF!</v>
      </c>
      <c r="DH49" t="e">
        <f>AND(#REF!,"AAAAADv3a28=")</f>
        <v>#REF!</v>
      </c>
      <c r="DI49" t="e">
        <f>AND(#REF!,"AAAAADv3a3A=")</f>
        <v>#REF!</v>
      </c>
      <c r="DJ49" t="e">
        <f>AND(#REF!,"AAAAADv3a3E=")</f>
        <v>#REF!</v>
      </c>
      <c r="DK49" t="e">
        <f>AND(#REF!,"AAAAADv3a3I=")</f>
        <v>#REF!</v>
      </c>
      <c r="DL49" t="e">
        <f>AND(#REF!,"AAAAADv3a3M=")</f>
        <v>#REF!</v>
      </c>
      <c r="DM49" t="e">
        <f>AND(#REF!,"AAAAADv3a3Q=")</f>
        <v>#REF!</v>
      </c>
      <c r="DN49" t="e">
        <f>AND(#REF!,"AAAAADv3a3U=")</f>
        <v>#REF!</v>
      </c>
      <c r="DO49" t="e">
        <f>AND(#REF!,"AAAAADv3a3Y=")</f>
        <v>#REF!</v>
      </c>
      <c r="DP49" t="e">
        <f>AND(#REF!,"AAAAADv3a3c=")</f>
        <v>#REF!</v>
      </c>
      <c r="DQ49" t="e">
        <f>AND(#REF!,"AAAAADv3a3g=")</f>
        <v>#REF!</v>
      </c>
      <c r="DR49" t="e">
        <f>AND(#REF!,"AAAAADv3a3k=")</f>
        <v>#REF!</v>
      </c>
      <c r="DS49" t="e">
        <f>AND(#REF!,"AAAAADv3a3o=")</f>
        <v>#REF!</v>
      </c>
      <c r="DT49" t="e">
        <f>AND(#REF!,"AAAAADv3a3s=")</f>
        <v>#REF!</v>
      </c>
      <c r="DU49" t="e">
        <f>AND(#REF!,"AAAAADv3a3w=")</f>
        <v>#REF!</v>
      </c>
      <c r="DV49" t="e">
        <f>AND(#REF!,"AAAAADv3a30=")</f>
        <v>#REF!</v>
      </c>
      <c r="DW49" t="e">
        <f>AND(#REF!,"AAAAADv3a34=")</f>
        <v>#REF!</v>
      </c>
      <c r="DX49" t="e">
        <f>AND(#REF!,"AAAAADv3a38=")</f>
        <v>#REF!</v>
      </c>
      <c r="DY49" t="e">
        <f>AND(#REF!,"AAAAADv3a4A=")</f>
        <v>#REF!</v>
      </c>
      <c r="DZ49" t="e">
        <f>AND(#REF!,"AAAAADv3a4E=")</f>
        <v>#REF!</v>
      </c>
      <c r="EA49" t="e">
        <f>AND(#REF!,"AAAAADv3a4I=")</f>
        <v>#REF!</v>
      </c>
      <c r="EB49" t="e">
        <f>AND(#REF!,"AAAAADv3a4M=")</f>
        <v>#REF!</v>
      </c>
      <c r="EC49" t="e">
        <f>AND(#REF!,"AAAAADv3a4Q=")</f>
        <v>#REF!</v>
      </c>
      <c r="ED49" t="e">
        <f>AND(#REF!,"AAAAADv3a4U=")</f>
        <v>#REF!</v>
      </c>
      <c r="EE49" t="e">
        <f>AND(#REF!,"AAAAADv3a4Y=")</f>
        <v>#REF!</v>
      </c>
      <c r="EF49" t="e">
        <f>AND(#REF!,"AAAAADv3a4c=")</f>
        <v>#REF!</v>
      </c>
      <c r="EG49" t="e">
        <f>AND(#REF!,"AAAAADv3a4g=")</f>
        <v>#REF!</v>
      </c>
      <c r="EH49" t="e">
        <f>AND(#REF!,"AAAAADv3a4k=")</f>
        <v>#REF!</v>
      </c>
      <c r="EI49" t="e">
        <f>AND(#REF!,"AAAAADv3a4o=")</f>
        <v>#REF!</v>
      </c>
      <c r="EJ49" t="e">
        <f>AND(#REF!,"AAAAADv3a4s=")</f>
        <v>#REF!</v>
      </c>
      <c r="EK49" t="e">
        <f>AND(#REF!,"AAAAADv3a4w=")</f>
        <v>#REF!</v>
      </c>
      <c r="EL49" t="e">
        <f>AND(#REF!,"AAAAADv3a40=")</f>
        <v>#REF!</v>
      </c>
      <c r="EM49" t="e">
        <f>AND(#REF!,"AAAAADv3a44=")</f>
        <v>#REF!</v>
      </c>
      <c r="EN49" t="e">
        <f>AND(#REF!,"AAAAADv3a48=")</f>
        <v>#REF!</v>
      </c>
      <c r="EO49" t="e">
        <f>AND(#REF!,"AAAAADv3a5A=")</f>
        <v>#REF!</v>
      </c>
      <c r="EP49" t="e">
        <f>AND(#REF!,"AAAAADv3a5E=")</f>
        <v>#REF!</v>
      </c>
      <c r="EQ49" t="e">
        <f>AND(#REF!,"AAAAADv3a5I=")</f>
        <v>#REF!</v>
      </c>
      <c r="ER49" t="e">
        <f>AND(#REF!,"AAAAADv3a5M=")</f>
        <v>#REF!</v>
      </c>
      <c r="ES49" t="e">
        <f>AND(#REF!,"AAAAADv3a5Q=")</f>
        <v>#REF!</v>
      </c>
      <c r="ET49" t="e">
        <f>AND(#REF!,"AAAAADv3a5U=")</f>
        <v>#REF!</v>
      </c>
      <c r="EU49" t="e">
        <f>AND(#REF!,"AAAAADv3a5Y=")</f>
        <v>#REF!</v>
      </c>
      <c r="EV49" t="e">
        <f>AND(#REF!,"AAAAADv3a5c=")</f>
        <v>#REF!</v>
      </c>
      <c r="EW49" t="e">
        <f>AND(#REF!,"AAAAADv3a5g=")</f>
        <v>#REF!</v>
      </c>
      <c r="EX49" t="e">
        <f>AND(#REF!,"AAAAADv3a5k=")</f>
        <v>#REF!</v>
      </c>
      <c r="EY49" t="e">
        <f>AND(#REF!,"AAAAADv3a5o=")</f>
        <v>#REF!</v>
      </c>
      <c r="EZ49" t="e">
        <f>AND(#REF!,"AAAAADv3a5s=")</f>
        <v>#REF!</v>
      </c>
      <c r="FA49" t="e">
        <f>AND(#REF!,"AAAAADv3a5w=")</f>
        <v>#REF!</v>
      </c>
      <c r="FB49" t="e">
        <f>AND(#REF!,"AAAAADv3a50=")</f>
        <v>#REF!</v>
      </c>
      <c r="FC49" t="e">
        <f>AND(#REF!,"AAAAADv3a54=")</f>
        <v>#REF!</v>
      </c>
      <c r="FD49" t="e">
        <f>AND(#REF!,"AAAAADv3a58=")</f>
        <v>#REF!</v>
      </c>
      <c r="FE49" t="e">
        <f>AND(#REF!,"AAAAADv3a6A=")</f>
        <v>#REF!</v>
      </c>
      <c r="FF49" t="e">
        <f>AND(#REF!,"AAAAADv3a6E=")</f>
        <v>#REF!</v>
      </c>
      <c r="FG49" t="e">
        <f>AND(#REF!,"AAAAADv3a6I=")</f>
        <v>#REF!</v>
      </c>
      <c r="FH49" t="e">
        <f>AND(#REF!,"AAAAADv3a6M=")</f>
        <v>#REF!</v>
      </c>
      <c r="FI49" t="e">
        <f>AND(#REF!,"AAAAADv3a6Q=")</f>
        <v>#REF!</v>
      </c>
      <c r="FJ49" t="e">
        <f>AND(#REF!,"AAAAADv3a6U=")</f>
        <v>#REF!</v>
      </c>
      <c r="FK49" t="e">
        <f>AND(#REF!,"AAAAADv3a6Y=")</f>
        <v>#REF!</v>
      </c>
      <c r="FL49" t="e">
        <f>AND(#REF!,"AAAAADv3a6c=")</f>
        <v>#REF!</v>
      </c>
      <c r="FM49" t="e">
        <f>AND(#REF!,"AAAAADv3a6g=")</f>
        <v>#REF!</v>
      </c>
      <c r="FN49" t="e">
        <f>AND(#REF!,"AAAAADv3a6k=")</f>
        <v>#REF!</v>
      </c>
      <c r="FO49" t="e">
        <f>AND(#REF!,"AAAAADv3a6o=")</f>
        <v>#REF!</v>
      </c>
      <c r="FP49" t="e">
        <f>AND(#REF!,"AAAAADv3a6s=")</f>
        <v>#REF!</v>
      </c>
      <c r="FQ49" t="e">
        <f>AND(#REF!,"AAAAADv3a6w=")</f>
        <v>#REF!</v>
      </c>
      <c r="FR49" t="e">
        <f>AND(#REF!,"AAAAADv3a60=")</f>
        <v>#REF!</v>
      </c>
      <c r="FS49" t="e">
        <f>AND(#REF!,"AAAAADv3a64=")</f>
        <v>#REF!</v>
      </c>
      <c r="FT49" t="e">
        <f>AND(#REF!,"AAAAADv3a68=")</f>
        <v>#REF!</v>
      </c>
      <c r="FU49" t="e">
        <f>AND(#REF!,"AAAAADv3a7A=")</f>
        <v>#REF!</v>
      </c>
      <c r="FV49" t="e">
        <f>AND(#REF!,"AAAAADv3a7E=")</f>
        <v>#REF!</v>
      </c>
      <c r="FW49" t="e">
        <f>AND(#REF!,"AAAAADv3a7I=")</f>
        <v>#REF!</v>
      </c>
      <c r="FX49" t="e">
        <f>AND(#REF!,"AAAAADv3a7M=")</f>
        <v>#REF!</v>
      </c>
      <c r="FY49" t="e">
        <f>AND(#REF!,"AAAAADv3a7Q=")</f>
        <v>#REF!</v>
      </c>
      <c r="FZ49" t="e">
        <f>AND(#REF!,"AAAAADv3a7U=")</f>
        <v>#REF!</v>
      </c>
      <c r="GA49" t="e">
        <f>AND(#REF!,"AAAAADv3a7Y=")</f>
        <v>#REF!</v>
      </c>
      <c r="GB49" t="e">
        <f>AND(#REF!,"AAAAADv3a7c=")</f>
        <v>#REF!</v>
      </c>
      <c r="GC49" t="e">
        <f>AND(#REF!,"AAAAADv3a7g=")</f>
        <v>#REF!</v>
      </c>
      <c r="GD49" t="e">
        <f>AND(#REF!,"AAAAADv3a7k=")</f>
        <v>#REF!</v>
      </c>
      <c r="GE49" t="e">
        <f>AND(#REF!,"AAAAADv3a7o=")</f>
        <v>#REF!</v>
      </c>
      <c r="GF49" t="e">
        <f>AND(#REF!,"AAAAADv3a7s=")</f>
        <v>#REF!</v>
      </c>
      <c r="GG49" t="e">
        <f>AND(#REF!,"AAAAADv3a7w=")</f>
        <v>#REF!</v>
      </c>
      <c r="GH49" t="e">
        <f>AND(#REF!,"AAAAADv3a70=")</f>
        <v>#REF!</v>
      </c>
      <c r="GI49" t="e">
        <f>AND(#REF!,"AAAAADv3a74=")</f>
        <v>#REF!</v>
      </c>
      <c r="GJ49" t="e">
        <f>AND(#REF!,"AAAAADv3a78=")</f>
        <v>#REF!</v>
      </c>
      <c r="GK49" t="e">
        <f>AND(#REF!,"AAAAADv3a8A=")</f>
        <v>#REF!</v>
      </c>
      <c r="GL49" t="e">
        <f>AND(#REF!,"AAAAADv3a8E=")</f>
        <v>#REF!</v>
      </c>
      <c r="GM49" t="e">
        <f>AND(#REF!,"AAAAADv3a8I=")</f>
        <v>#REF!</v>
      </c>
      <c r="GN49" t="e">
        <f>AND(#REF!,"AAAAADv3a8M=")</f>
        <v>#REF!</v>
      </c>
      <c r="GO49" t="e">
        <f>AND(#REF!,"AAAAADv3a8Q=")</f>
        <v>#REF!</v>
      </c>
      <c r="GP49" t="e">
        <f>AND(#REF!,"AAAAADv3a8U=")</f>
        <v>#REF!</v>
      </c>
      <c r="GQ49" t="e">
        <f>AND(#REF!,"AAAAADv3a8Y=")</f>
        <v>#REF!</v>
      </c>
      <c r="GR49" t="e">
        <f>AND(#REF!,"AAAAADv3a8c=")</f>
        <v>#REF!</v>
      </c>
      <c r="GS49" t="e">
        <f>AND(#REF!,"AAAAADv3a8g=")</f>
        <v>#REF!</v>
      </c>
      <c r="GT49" t="e">
        <f>AND(#REF!,"AAAAADv3a8k=")</f>
        <v>#REF!</v>
      </c>
      <c r="GU49" t="e">
        <f>AND(#REF!,"AAAAADv3a8o=")</f>
        <v>#REF!</v>
      </c>
      <c r="GV49" t="e">
        <f>AND(#REF!,"AAAAADv3a8s=")</f>
        <v>#REF!</v>
      </c>
      <c r="GW49" t="e">
        <f>AND(#REF!,"AAAAADv3a8w=")</f>
        <v>#REF!</v>
      </c>
      <c r="GX49" t="e">
        <f>AND(#REF!,"AAAAADv3a80=")</f>
        <v>#REF!</v>
      </c>
      <c r="GY49" t="e">
        <f>AND(#REF!,"AAAAADv3a84=")</f>
        <v>#REF!</v>
      </c>
      <c r="GZ49" t="e">
        <f>AND(#REF!,"AAAAADv3a88=")</f>
        <v>#REF!</v>
      </c>
      <c r="HA49" t="e">
        <f>AND(#REF!,"AAAAADv3a9A=")</f>
        <v>#REF!</v>
      </c>
      <c r="HB49" t="e">
        <f>AND(#REF!,"AAAAADv3a9E=")</f>
        <v>#REF!</v>
      </c>
      <c r="HC49" t="e">
        <f>AND(#REF!,"AAAAADv3a9I=")</f>
        <v>#REF!</v>
      </c>
      <c r="HD49" t="e">
        <f>AND(#REF!,"AAAAADv3a9M=")</f>
        <v>#REF!</v>
      </c>
      <c r="HE49" t="e">
        <f>AND(#REF!,"AAAAADv3a9Q=")</f>
        <v>#REF!</v>
      </c>
      <c r="HF49" t="e">
        <f>AND(#REF!,"AAAAADv3a9U=")</f>
        <v>#REF!</v>
      </c>
      <c r="HG49" t="e">
        <f>AND(#REF!,"AAAAADv3a9Y=")</f>
        <v>#REF!</v>
      </c>
      <c r="HH49" t="e">
        <f>AND(#REF!,"AAAAADv3a9c=")</f>
        <v>#REF!</v>
      </c>
      <c r="HI49" t="e">
        <f>AND(#REF!,"AAAAADv3a9g=")</f>
        <v>#REF!</v>
      </c>
      <c r="HJ49" t="e">
        <f>AND(#REF!,"AAAAADv3a9k=")</f>
        <v>#REF!</v>
      </c>
      <c r="HK49" t="e">
        <f>AND(#REF!,"AAAAADv3a9o=")</f>
        <v>#REF!</v>
      </c>
      <c r="HL49" t="e">
        <f>AND(#REF!,"AAAAADv3a9s=")</f>
        <v>#REF!</v>
      </c>
      <c r="HM49" t="e">
        <f>AND(#REF!,"AAAAADv3a9w=")</f>
        <v>#REF!</v>
      </c>
      <c r="HN49" t="e">
        <f>AND(#REF!,"AAAAADv3a90=")</f>
        <v>#REF!</v>
      </c>
      <c r="HO49" t="e">
        <f>AND(#REF!,"AAAAADv3a94=")</f>
        <v>#REF!</v>
      </c>
      <c r="HP49" t="e">
        <f>IF(#REF!,"AAAAADv3a98=",0)</f>
        <v>#REF!</v>
      </c>
      <c r="HQ49" t="e">
        <f>AND(#REF!,"AAAAADv3a+A=")</f>
        <v>#REF!</v>
      </c>
      <c r="HR49" t="e">
        <f>AND(#REF!,"AAAAADv3a+E=")</f>
        <v>#REF!</v>
      </c>
      <c r="HS49" t="e">
        <f>AND(#REF!,"AAAAADv3a+I=")</f>
        <v>#REF!</v>
      </c>
      <c r="HT49" t="e">
        <f>AND(#REF!,"AAAAADv3a+M=")</f>
        <v>#REF!</v>
      </c>
      <c r="HU49" t="e">
        <f>AND(#REF!,"AAAAADv3a+Q=")</f>
        <v>#REF!</v>
      </c>
      <c r="HV49" t="e">
        <f>AND(#REF!,"AAAAADv3a+U=")</f>
        <v>#REF!</v>
      </c>
      <c r="HW49" t="e">
        <f>AND(#REF!,"AAAAADv3a+Y=")</f>
        <v>#REF!</v>
      </c>
      <c r="HX49" t="e">
        <f>AND(#REF!,"AAAAADv3a+c=")</f>
        <v>#REF!</v>
      </c>
      <c r="HY49" t="e">
        <f>AND(#REF!,"AAAAADv3a+g=")</f>
        <v>#REF!</v>
      </c>
      <c r="HZ49" t="e">
        <f>AND(#REF!,"AAAAADv3a+k=")</f>
        <v>#REF!</v>
      </c>
      <c r="IA49" t="e">
        <f>AND(#REF!,"AAAAADv3a+o=")</f>
        <v>#REF!</v>
      </c>
      <c r="IB49" t="e">
        <f>AND(#REF!,"AAAAADv3a+s=")</f>
        <v>#REF!</v>
      </c>
      <c r="IC49" t="e">
        <f>AND(#REF!,"AAAAADv3a+w=")</f>
        <v>#REF!</v>
      </c>
      <c r="ID49" t="e">
        <f>AND(#REF!,"AAAAADv3a+0=")</f>
        <v>#REF!</v>
      </c>
      <c r="IE49" t="e">
        <f>AND(#REF!,"AAAAADv3a+4=")</f>
        <v>#REF!</v>
      </c>
      <c r="IF49" t="e">
        <f>AND(#REF!,"AAAAADv3a+8=")</f>
        <v>#REF!</v>
      </c>
      <c r="IG49" t="e">
        <f>AND(#REF!,"AAAAADv3a/A=")</f>
        <v>#REF!</v>
      </c>
      <c r="IH49" t="e">
        <f>AND(#REF!,"AAAAADv3a/E=")</f>
        <v>#REF!</v>
      </c>
      <c r="II49" t="e">
        <f>AND(#REF!,"AAAAADv3a/I=")</f>
        <v>#REF!</v>
      </c>
      <c r="IJ49" t="e">
        <f>AND(#REF!,"AAAAADv3a/M=")</f>
        <v>#REF!</v>
      </c>
      <c r="IK49" t="e">
        <f>AND(#REF!,"AAAAADv3a/Q=")</f>
        <v>#REF!</v>
      </c>
      <c r="IL49" t="e">
        <f>AND(#REF!,"AAAAADv3a/U=")</f>
        <v>#REF!</v>
      </c>
      <c r="IM49" t="e">
        <f>AND(#REF!,"AAAAADv3a/Y=")</f>
        <v>#REF!</v>
      </c>
      <c r="IN49" t="e">
        <f>AND(#REF!,"AAAAADv3a/c=")</f>
        <v>#REF!</v>
      </c>
      <c r="IO49" t="e">
        <f>AND(#REF!,"AAAAADv3a/g=")</f>
        <v>#REF!</v>
      </c>
      <c r="IP49" t="e">
        <f>AND(#REF!,"AAAAADv3a/k=")</f>
        <v>#REF!</v>
      </c>
      <c r="IQ49" t="e">
        <f>AND(#REF!,"AAAAADv3a/o=")</f>
        <v>#REF!</v>
      </c>
      <c r="IR49" t="e">
        <f>AND(#REF!,"AAAAADv3a/s=")</f>
        <v>#REF!</v>
      </c>
      <c r="IS49" t="e">
        <f>AND(#REF!,"AAAAADv3a/w=")</f>
        <v>#REF!</v>
      </c>
      <c r="IT49" t="e">
        <f>AND(#REF!,"AAAAADv3a/0=")</f>
        <v>#REF!</v>
      </c>
      <c r="IU49" t="e">
        <f>AND(#REF!,"AAAAADv3a/4=")</f>
        <v>#REF!</v>
      </c>
      <c r="IV49" t="e">
        <f>AND(#REF!,"AAAAADv3a/8=")</f>
        <v>#REF!</v>
      </c>
    </row>
    <row r="50" spans="1:256" ht="15">
      <c r="A50" t="e">
        <f>AND(#REF!,"AAAAAEjXlQA=")</f>
        <v>#REF!</v>
      </c>
      <c r="B50" t="e">
        <f>AND(#REF!,"AAAAAEjXlQE=")</f>
        <v>#REF!</v>
      </c>
      <c r="C50" t="e">
        <f>AND(#REF!,"AAAAAEjXlQI=")</f>
        <v>#REF!</v>
      </c>
      <c r="D50" t="e">
        <f>AND(#REF!,"AAAAAEjXlQM=")</f>
        <v>#REF!</v>
      </c>
      <c r="E50" t="e">
        <f>AND(#REF!,"AAAAAEjXlQQ=")</f>
        <v>#REF!</v>
      </c>
      <c r="F50" t="e">
        <f>AND(#REF!,"AAAAAEjXlQU=")</f>
        <v>#REF!</v>
      </c>
      <c r="G50" t="e">
        <f>AND(#REF!,"AAAAAEjXlQY=")</f>
        <v>#REF!</v>
      </c>
      <c r="H50" t="e">
        <f>AND(#REF!,"AAAAAEjXlQc=")</f>
        <v>#REF!</v>
      </c>
      <c r="I50" t="e">
        <f>AND(#REF!,"AAAAAEjXlQg=")</f>
        <v>#REF!</v>
      </c>
      <c r="J50" t="e">
        <f>AND(#REF!,"AAAAAEjXlQk=")</f>
        <v>#REF!</v>
      </c>
      <c r="K50" t="e">
        <f>AND(#REF!,"AAAAAEjXlQo=")</f>
        <v>#REF!</v>
      </c>
      <c r="L50" t="e">
        <f>AND(#REF!,"AAAAAEjXlQs=")</f>
        <v>#REF!</v>
      </c>
      <c r="M50" t="e">
        <f>AND(#REF!,"AAAAAEjXlQw=")</f>
        <v>#REF!</v>
      </c>
      <c r="N50" t="e">
        <f>AND(#REF!,"AAAAAEjXlQ0=")</f>
        <v>#REF!</v>
      </c>
      <c r="O50" t="e">
        <f>AND(#REF!,"AAAAAEjXlQ4=")</f>
        <v>#REF!</v>
      </c>
      <c r="P50" t="e">
        <f>AND(#REF!,"AAAAAEjXlQ8=")</f>
        <v>#REF!</v>
      </c>
      <c r="Q50" t="e">
        <f>AND(#REF!,"AAAAAEjXlRA=")</f>
        <v>#REF!</v>
      </c>
      <c r="R50" t="e">
        <f>AND(#REF!,"AAAAAEjXlRE=")</f>
        <v>#REF!</v>
      </c>
      <c r="S50" t="e">
        <f>AND(#REF!,"AAAAAEjXlRI=")</f>
        <v>#REF!</v>
      </c>
      <c r="T50" t="e">
        <f>AND(#REF!,"AAAAAEjXlRM=")</f>
        <v>#REF!</v>
      </c>
      <c r="U50" t="e">
        <f>AND(#REF!,"AAAAAEjXlRQ=")</f>
        <v>#REF!</v>
      </c>
      <c r="V50" t="e">
        <f>AND(#REF!,"AAAAAEjXlRU=")</f>
        <v>#REF!</v>
      </c>
      <c r="W50" t="e">
        <f>AND(#REF!,"AAAAAEjXlRY=")</f>
        <v>#REF!</v>
      </c>
      <c r="X50" t="e">
        <f>AND(#REF!,"AAAAAEjXlRc=")</f>
        <v>#REF!</v>
      </c>
      <c r="Y50" t="e">
        <f>AND(#REF!,"AAAAAEjXlRg=")</f>
        <v>#REF!</v>
      </c>
      <c r="Z50" t="e">
        <f>AND(#REF!,"AAAAAEjXlRk=")</f>
        <v>#REF!</v>
      </c>
      <c r="AA50" t="e">
        <f>AND(#REF!,"AAAAAEjXlRo=")</f>
        <v>#REF!</v>
      </c>
      <c r="AB50" t="e">
        <f>AND(#REF!,"AAAAAEjXlRs=")</f>
        <v>#REF!</v>
      </c>
      <c r="AC50" t="e">
        <f>AND(#REF!,"AAAAAEjXlRw=")</f>
        <v>#REF!</v>
      </c>
      <c r="AD50" t="e">
        <f>AND(#REF!,"AAAAAEjXlR0=")</f>
        <v>#REF!</v>
      </c>
      <c r="AE50" t="e">
        <f>AND(#REF!,"AAAAAEjXlR4=")</f>
        <v>#REF!</v>
      </c>
      <c r="AF50" t="e">
        <f>AND(#REF!,"AAAAAEjXlR8=")</f>
        <v>#REF!</v>
      </c>
      <c r="AG50" t="e">
        <f>AND(#REF!,"AAAAAEjXlSA=")</f>
        <v>#REF!</v>
      </c>
      <c r="AH50" t="e">
        <f>AND(#REF!,"AAAAAEjXlSE=")</f>
        <v>#REF!</v>
      </c>
      <c r="AI50" t="e">
        <f>AND(#REF!,"AAAAAEjXlSI=")</f>
        <v>#REF!</v>
      </c>
      <c r="AJ50" t="e">
        <f>AND(#REF!,"AAAAAEjXlSM=")</f>
        <v>#REF!</v>
      </c>
      <c r="AK50" t="e">
        <f>AND(#REF!,"AAAAAEjXlSQ=")</f>
        <v>#REF!</v>
      </c>
      <c r="AL50" t="e">
        <f>AND(#REF!,"AAAAAEjXlSU=")</f>
        <v>#REF!</v>
      </c>
      <c r="AM50" t="e">
        <f>AND(#REF!,"AAAAAEjXlSY=")</f>
        <v>#REF!</v>
      </c>
      <c r="AN50" t="e">
        <f>AND(#REF!,"AAAAAEjXlSc=")</f>
        <v>#REF!</v>
      </c>
      <c r="AO50" t="e">
        <f>AND(#REF!,"AAAAAEjXlSg=")</f>
        <v>#REF!</v>
      </c>
      <c r="AP50" t="e">
        <f>AND(#REF!,"AAAAAEjXlSk=")</f>
        <v>#REF!</v>
      </c>
      <c r="AQ50" t="e">
        <f>AND(#REF!,"AAAAAEjXlSo=")</f>
        <v>#REF!</v>
      </c>
      <c r="AR50" t="e">
        <f>AND(#REF!,"AAAAAEjXlSs=")</f>
        <v>#REF!</v>
      </c>
      <c r="AS50" t="e">
        <f>AND(#REF!,"AAAAAEjXlSw=")</f>
        <v>#REF!</v>
      </c>
      <c r="AT50" t="e">
        <f>AND(#REF!,"AAAAAEjXlS0=")</f>
        <v>#REF!</v>
      </c>
      <c r="AU50" t="e">
        <f>AND(#REF!,"AAAAAEjXlS4=")</f>
        <v>#REF!</v>
      </c>
      <c r="AV50" t="e">
        <f>AND(#REF!,"AAAAAEjXlS8=")</f>
        <v>#REF!</v>
      </c>
      <c r="AW50" t="e">
        <f>AND(#REF!,"AAAAAEjXlTA=")</f>
        <v>#REF!</v>
      </c>
      <c r="AX50" t="e">
        <f>AND(#REF!,"AAAAAEjXlTE=")</f>
        <v>#REF!</v>
      </c>
      <c r="AY50" t="e">
        <f>AND(#REF!,"AAAAAEjXlTI=")</f>
        <v>#REF!</v>
      </c>
      <c r="AZ50" t="e">
        <f>AND(#REF!,"AAAAAEjXlTM=")</f>
        <v>#REF!</v>
      </c>
      <c r="BA50" t="e">
        <f>AND(#REF!,"AAAAAEjXlTQ=")</f>
        <v>#REF!</v>
      </c>
      <c r="BB50" t="e">
        <f>AND(#REF!,"AAAAAEjXlTU=")</f>
        <v>#REF!</v>
      </c>
      <c r="BC50" t="e">
        <f>AND(#REF!,"AAAAAEjXlTY=")</f>
        <v>#REF!</v>
      </c>
      <c r="BD50" t="e">
        <f>AND(#REF!,"AAAAAEjXlTc=")</f>
        <v>#REF!</v>
      </c>
      <c r="BE50" t="e">
        <f>AND(#REF!,"AAAAAEjXlTg=")</f>
        <v>#REF!</v>
      </c>
      <c r="BF50" t="e">
        <f>AND(#REF!,"AAAAAEjXlTk=")</f>
        <v>#REF!</v>
      </c>
      <c r="BG50" t="e">
        <f>AND(#REF!,"AAAAAEjXlTo=")</f>
        <v>#REF!</v>
      </c>
      <c r="BH50" t="e">
        <f>AND(#REF!,"AAAAAEjXlTs=")</f>
        <v>#REF!</v>
      </c>
      <c r="BI50" t="e">
        <f>AND(#REF!,"AAAAAEjXlTw=")</f>
        <v>#REF!</v>
      </c>
      <c r="BJ50" t="e">
        <f>AND(#REF!,"AAAAAEjXlT0=")</f>
        <v>#REF!</v>
      </c>
      <c r="BK50" t="e">
        <f>AND(#REF!,"AAAAAEjXlT4=")</f>
        <v>#REF!</v>
      </c>
      <c r="BL50" t="e">
        <f>AND(#REF!,"AAAAAEjXlT8=")</f>
        <v>#REF!</v>
      </c>
      <c r="BM50" t="e">
        <f>AND(#REF!,"AAAAAEjXlUA=")</f>
        <v>#REF!</v>
      </c>
      <c r="BN50" t="e">
        <f>AND(#REF!,"AAAAAEjXlUE=")</f>
        <v>#REF!</v>
      </c>
      <c r="BO50" t="e">
        <f>AND(#REF!,"AAAAAEjXlUI=")</f>
        <v>#REF!</v>
      </c>
      <c r="BP50" t="e">
        <f>AND(#REF!,"AAAAAEjXlUM=")</f>
        <v>#REF!</v>
      </c>
      <c r="BQ50" t="e">
        <f>AND(#REF!,"AAAAAEjXlUQ=")</f>
        <v>#REF!</v>
      </c>
      <c r="BR50" t="e">
        <f>AND(#REF!,"AAAAAEjXlUU=")</f>
        <v>#REF!</v>
      </c>
      <c r="BS50" t="e">
        <f>AND(#REF!,"AAAAAEjXlUY=")</f>
        <v>#REF!</v>
      </c>
      <c r="BT50" t="e">
        <f>AND(#REF!,"AAAAAEjXlUc=")</f>
        <v>#REF!</v>
      </c>
      <c r="BU50" t="e">
        <f>AND(#REF!,"AAAAAEjXlUg=")</f>
        <v>#REF!</v>
      </c>
      <c r="BV50" t="e">
        <f>AND(#REF!,"AAAAAEjXlUk=")</f>
        <v>#REF!</v>
      </c>
      <c r="BW50" t="e">
        <f>AND(#REF!,"AAAAAEjXlUo=")</f>
        <v>#REF!</v>
      </c>
      <c r="BX50" t="e">
        <f>AND(#REF!,"AAAAAEjXlUs=")</f>
        <v>#REF!</v>
      </c>
      <c r="BY50" t="e">
        <f>AND(#REF!,"AAAAAEjXlUw=")</f>
        <v>#REF!</v>
      </c>
      <c r="BZ50" t="e">
        <f>AND(#REF!,"AAAAAEjXlU0=")</f>
        <v>#REF!</v>
      </c>
      <c r="CA50" t="e">
        <f>AND(#REF!,"AAAAAEjXlU4=")</f>
        <v>#REF!</v>
      </c>
      <c r="CB50" t="e">
        <f>AND(#REF!,"AAAAAEjXlU8=")</f>
        <v>#REF!</v>
      </c>
      <c r="CC50" t="e">
        <f>AND(#REF!,"AAAAAEjXlVA=")</f>
        <v>#REF!</v>
      </c>
      <c r="CD50" t="e">
        <f>AND(#REF!,"AAAAAEjXlVE=")</f>
        <v>#REF!</v>
      </c>
      <c r="CE50" t="e">
        <f>AND(#REF!,"AAAAAEjXlVI=")</f>
        <v>#REF!</v>
      </c>
      <c r="CF50" t="e">
        <f>AND(#REF!,"AAAAAEjXlVM=")</f>
        <v>#REF!</v>
      </c>
      <c r="CG50" t="e">
        <f>AND(#REF!,"AAAAAEjXlVQ=")</f>
        <v>#REF!</v>
      </c>
      <c r="CH50" t="e">
        <f>AND(#REF!,"AAAAAEjXlVU=")</f>
        <v>#REF!</v>
      </c>
      <c r="CI50" t="e">
        <f>AND(#REF!,"AAAAAEjXlVY=")</f>
        <v>#REF!</v>
      </c>
      <c r="CJ50" t="e">
        <f>AND(#REF!,"AAAAAEjXlVc=")</f>
        <v>#REF!</v>
      </c>
      <c r="CK50" t="e">
        <f>AND(#REF!,"AAAAAEjXlVg=")</f>
        <v>#REF!</v>
      </c>
      <c r="CL50" t="e">
        <f>AND(#REF!,"AAAAAEjXlVk=")</f>
        <v>#REF!</v>
      </c>
      <c r="CM50" t="e">
        <f>AND(#REF!,"AAAAAEjXlVo=")</f>
        <v>#REF!</v>
      </c>
      <c r="CN50" t="e">
        <f>AND(#REF!,"AAAAAEjXlVs=")</f>
        <v>#REF!</v>
      </c>
      <c r="CO50" t="e">
        <f>AND(#REF!,"AAAAAEjXlVw=")</f>
        <v>#REF!</v>
      </c>
      <c r="CP50" t="e">
        <f>AND(#REF!,"AAAAAEjXlV0=")</f>
        <v>#REF!</v>
      </c>
      <c r="CQ50" t="e">
        <f>AND(#REF!,"AAAAAEjXlV4=")</f>
        <v>#REF!</v>
      </c>
      <c r="CR50" t="e">
        <f>AND(#REF!,"AAAAAEjXlV8=")</f>
        <v>#REF!</v>
      </c>
      <c r="CS50" t="e">
        <f>AND(#REF!,"AAAAAEjXlWA=")</f>
        <v>#REF!</v>
      </c>
      <c r="CT50" t="e">
        <f>AND(#REF!,"AAAAAEjXlWE=")</f>
        <v>#REF!</v>
      </c>
      <c r="CU50" t="e">
        <f>AND(#REF!,"AAAAAEjXlWI=")</f>
        <v>#REF!</v>
      </c>
      <c r="CV50" t="e">
        <f>AND(#REF!,"AAAAAEjXlWM=")</f>
        <v>#REF!</v>
      </c>
      <c r="CW50" t="e">
        <f>AND(#REF!,"AAAAAEjXlWQ=")</f>
        <v>#REF!</v>
      </c>
      <c r="CX50" t="e">
        <f>AND(#REF!,"AAAAAEjXlWU=")</f>
        <v>#REF!</v>
      </c>
      <c r="CY50" t="e">
        <f>AND(#REF!,"AAAAAEjXlWY=")</f>
        <v>#REF!</v>
      </c>
      <c r="CZ50" t="e">
        <f>IF(#REF!,"AAAAAEjXlWc=",0)</f>
        <v>#REF!</v>
      </c>
      <c r="DA50" t="e">
        <f>AND(#REF!,"AAAAAEjXlWg=")</f>
        <v>#REF!</v>
      </c>
      <c r="DB50" t="e">
        <f>AND(#REF!,"AAAAAEjXlWk=")</f>
        <v>#REF!</v>
      </c>
      <c r="DC50" t="e">
        <f>AND(#REF!,"AAAAAEjXlWo=")</f>
        <v>#REF!</v>
      </c>
      <c r="DD50" t="e">
        <f>AND(#REF!,"AAAAAEjXlWs=")</f>
        <v>#REF!</v>
      </c>
      <c r="DE50" t="e">
        <f>AND(#REF!,"AAAAAEjXlWw=")</f>
        <v>#REF!</v>
      </c>
      <c r="DF50" t="e">
        <f>AND(#REF!,"AAAAAEjXlW0=")</f>
        <v>#REF!</v>
      </c>
      <c r="DG50" t="e">
        <f>AND(#REF!,"AAAAAEjXlW4=")</f>
        <v>#REF!</v>
      </c>
      <c r="DH50" t="e">
        <f>AND(#REF!,"AAAAAEjXlW8=")</f>
        <v>#REF!</v>
      </c>
      <c r="DI50" t="e">
        <f>AND(#REF!,"AAAAAEjXlXA=")</f>
        <v>#REF!</v>
      </c>
      <c r="DJ50" t="e">
        <f>AND(#REF!,"AAAAAEjXlXE=")</f>
        <v>#REF!</v>
      </c>
      <c r="DK50" t="e">
        <f>AND(#REF!,"AAAAAEjXlXI=")</f>
        <v>#REF!</v>
      </c>
      <c r="DL50" t="e">
        <f>AND(#REF!,"AAAAAEjXlXM=")</f>
        <v>#REF!</v>
      </c>
      <c r="DM50" t="e">
        <f>AND(#REF!,"AAAAAEjXlXQ=")</f>
        <v>#REF!</v>
      </c>
      <c r="DN50" t="e">
        <f>AND(#REF!,"AAAAAEjXlXU=")</f>
        <v>#REF!</v>
      </c>
      <c r="DO50" t="e">
        <f>AND(#REF!,"AAAAAEjXlXY=")</f>
        <v>#REF!</v>
      </c>
      <c r="DP50" t="e">
        <f>AND(#REF!,"AAAAAEjXlXc=")</f>
        <v>#REF!</v>
      </c>
      <c r="DQ50" t="e">
        <f>AND(#REF!,"AAAAAEjXlXg=")</f>
        <v>#REF!</v>
      </c>
      <c r="DR50" t="e">
        <f>AND(#REF!,"AAAAAEjXlXk=")</f>
        <v>#REF!</v>
      </c>
      <c r="DS50" t="e">
        <f>AND(#REF!,"AAAAAEjXlXo=")</f>
        <v>#REF!</v>
      </c>
      <c r="DT50" t="e">
        <f>AND(#REF!,"AAAAAEjXlXs=")</f>
        <v>#REF!</v>
      </c>
      <c r="DU50" t="e">
        <f>AND(#REF!,"AAAAAEjXlXw=")</f>
        <v>#REF!</v>
      </c>
      <c r="DV50" t="e">
        <f>AND(#REF!,"AAAAAEjXlX0=")</f>
        <v>#REF!</v>
      </c>
      <c r="DW50" t="e">
        <f>AND(#REF!,"AAAAAEjXlX4=")</f>
        <v>#REF!</v>
      </c>
      <c r="DX50" t="e">
        <f>AND(#REF!,"AAAAAEjXlX8=")</f>
        <v>#REF!</v>
      </c>
      <c r="DY50" t="e">
        <f>AND(#REF!,"AAAAAEjXlYA=")</f>
        <v>#REF!</v>
      </c>
      <c r="DZ50" t="e">
        <f>AND(#REF!,"AAAAAEjXlYE=")</f>
        <v>#REF!</v>
      </c>
      <c r="EA50" t="e">
        <f>AND(#REF!,"AAAAAEjXlYI=")</f>
        <v>#REF!</v>
      </c>
      <c r="EB50" t="e">
        <f>AND(#REF!,"AAAAAEjXlYM=")</f>
        <v>#REF!</v>
      </c>
      <c r="EC50" t="e">
        <f>AND(#REF!,"AAAAAEjXlYQ=")</f>
        <v>#REF!</v>
      </c>
      <c r="ED50" t="e">
        <f>AND(#REF!,"AAAAAEjXlYU=")</f>
        <v>#REF!</v>
      </c>
      <c r="EE50" t="e">
        <f>AND(#REF!,"AAAAAEjXlYY=")</f>
        <v>#REF!</v>
      </c>
      <c r="EF50" t="e">
        <f>AND(#REF!,"AAAAAEjXlYc=")</f>
        <v>#REF!</v>
      </c>
      <c r="EG50" t="e">
        <f>AND(#REF!,"AAAAAEjXlYg=")</f>
        <v>#REF!</v>
      </c>
      <c r="EH50" t="e">
        <f>AND(#REF!,"AAAAAEjXlYk=")</f>
        <v>#REF!</v>
      </c>
      <c r="EI50" t="e">
        <f>AND(#REF!,"AAAAAEjXlYo=")</f>
        <v>#REF!</v>
      </c>
      <c r="EJ50" t="e">
        <f>AND(#REF!,"AAAAAEjXlYs=")</f>
        <v>#REF!</v>
      </c>
      <c r="EK50" t="e">
        <f>AND(#REF!,"AAAAAEjXlYw=")</f>
        <v>#REF!</v>
      </c>
      <c r="EL50" t="e">
        <f>AND(#REF!,"AAAAAEjXlY0=")</f>
        <v>#REF!</v>
      </c>
      <c r="EM50" t="e">
        <f>AND(#REF!,"AAAAAEjXlY4=")</f>
        <v>#REF!</v>
      </c>
      <c r="EN50" t="e">
        <f>AND(#REF!,"AAAAAEjXlY8=")</f>
        <v>#REF!</v>
      </c>
      <c r="EO50" t="e">
        <f>AND(#REF!,"AAAAAEjXlZA=")</f>
        <v>#REF!</v>
      </c>
      <c r="EP50" t="e">
        <f>AND(#REF!,"AAAAAEjXlZE=")</f>
        <v>#REF!</v>
      </c>
      <c r="EQ50" t="e">
        <f>AND(#REF!,"AAAAAEjXlZI=")</f>
        <v>#REF!</v>
      </c>
      <c r="ER50" t="e">
        <f>AND(#REF!,"AAAAAEjXlZM=")</f>
        <v>#REF!</v>
      </c>
      <c r="ES50" t="e">
        <f>AND(#REF!,"AAAAAEjXlZQ=")</f>
        <v>#REF!</v>
      </c>
      <c r="ET50" t="e">
        <f>AND(#REF!,"AAAAAEjXlZU=")</f>
        <v>#REF!</v>
      </c>
      <c r="EU50" t="e">
        <f>AND(#REF!,"AAAAAEjXlZY=")</f>
        <v>#REF!</v>
      </c>
      <c r="EV50" t="e">
        <f>AND(#REF!,"AAAAAEjXlZc=")</f>
        <v>#REF!</v>
      </c>
      <c r="EW50" t="e">
        <f>AND(#REF!,"AAAAAEjXlZg=")</f>
        <v>#REF!</v>
      </c>
      <c r="EX50" t="e">
        <f>AND(#REF!,"AAAAAEjXlZk=")</f>
        <v>#REF!</v>
      </c>
      <c r="EY50" t="e">
        <f>AND(#REF!,"AAAAAEjXlZo=")</f>
        <v>#REF!</v>
      </c>
      <c r="EZ50" t="e">
        <f>AND(#REF!,"AAAAAEjXlZs=")</f>
        <v>#REF!</v>
      </c>
      <c r="FA50" t="e">
        <f>AND(#REF!,"AAAAAEjXlZw=")</f>
        <v>#REF!</v>
      </c>
      <c r="FB50" t="e">
        <f>AND(#REF!,"AAAAAEjXlZ0=")</f>
        <v>#REF!</v>
      </c>
      <c r="FC50" t="e">
        <f>AND(#REF!,"AAAAAEjXlZ4=")</f>
        <v>#REF!</v>
      </c>
      <c r="FD50" t="e">
        <f>AND(#REF!,"AAAAAEjXlZ8=")</f>
        <v>#REF!</v>
      </c>
      <c r="FE50" t="e">
        <f>AND(#REF!,"AAAAAEjXlaA=")</f>
        <v>#REF!</v>
      </c>
      <c r="FF50" t="e">
        <f>AND(#REF!,"AAAAAEjXlaE=")</f>
        <v>#REF!</v>
      </c>
      <c r="FG50" t="e">
        <f>AND(#REF!,"AAAAAEjXlaI=")</f>
        <v>#REF!</v>
      </c>
      <c r="FH50" t="e">
        <f>AND(#REF!,"AAAAAEjXlaM=")</f>
        <v>#REF!</v>
      </c>
      <c r="FI50" t="e">
        <f>AND(#REF!,"AAAAAEjXlaQ=")</f>
        <v>#REF!</v>
      </c>
      <c r="FJ50" t="e">
        <f>AND(#REF!,"AAAAAEjXlaU=")</f>
        <v>#REF!</v>
      </c>
      <c r="FK50" t="e">
        <f>AND(#REF!,"AAAAAEjXlaY=")</f>
        <v>#REF!</v>
      </c>
      <c r="FL50" t="e">
        <f>AND(#REF!,"AAAAAEjXlac=")</f>
        <v>#REF!</v>
      </c>
      <c r="FM50" t="e">
        <f>AND(#REF!,"AAAAAEjXlag=")</f>
        <v>#REF!</v>
      </c>
      <c r="FN50" t="e">
        <f>AND(#REF!,"AAAAAEjXlak=")</f>
        <v>#REF!</v>
      </c>
      <c r="FO50" t="e">
        <f>AND(#REF!,"AAAAAEjXlao=")</f>
        <v>#REF!</v>
      </c>
      <c r="FP50" t="e">
        <f>AND(#REF!,"AAAAAEjXlas=")</f>
        <v>#REF!</v>
      </c>
      <c r="FQ50" t="e">
        <f>AND(#REF!,"AAAAAEjXlaw=")</f>
        <v>#REF!</v>
      </c>
      <c r="FR50" t="e">
        <f>AND(#REF!,"AAAAAEjXla0=")</f>
        <v>#REF!</v>
      </c>
      <c r="FS50" t="e">
        <f>AND(#REF!,"AAAAAEjXla4=")</f>
        <v>#REF!</v>
      </c>
      <c r="FT50" t="e">
        <f>AND(#REF!,"AAAAAEjXla8=")</f>
        <v>#REF!</v>
      </c>
      <c r="FU50" t="e">
        <f>AND(#REF!,"AAAAAEjXlbA=")</f>
        <v>#REF!</v>
      </c>
      <c r="FV50" t="e">
        <f>AND(#REF!,"AAAAAEjXlbE=")</f>
        <v>#REF!</v>
      </c>
      <c r="FW50" t="e">
        <f>AND(#REF!,"AAAAAEjXlbI=")</f>
        <v>#REF!</v>
      </c>
      <c r="FX50" t="e">
        <f>AND(#REF!,"AAAAAEjXlbM=")</f>
        <v>#REF!</v>
      </c>
      <c r="FY50" t="e">
        <f>AND(#REF!,"AAAAAEjXlbQ=")</f>
        <v>#REF!</v>
      </c>
      <c r="FZ50" t="e">
        <f>AND(#REF!,"AAAAAEjXlbU=")</f>
        <v>#REF!</v>
      </c>
      <c r="GA50" t="e">
        <f>AND(#REF!,"AAAAAEjXlbY=")</f>
        <v>#REF!</v>
      </c>
      <c r="GB50" t="e">
        <f>AND(#REF!,"AAAAAEjXlbc=")</f>
        <v>#REF!</v>
      </c>
      <c r="GC50" t="e">
        <f>AND(#REF!,"AAAAAEjXlbg=")</f>
        <v>#REF!</v>
      </c>
      <c r="GD50" t="e">
        <f>AND(#REF!,"AAAAAEjXlbk=")</f>
        <v>#REF!</v>
      </c>
      <c r="GE50" t="e">
        <f>AND(#REF!,"AAAAAEjXlbo=")</f>
        <v>#REF!</v>
      </c>
      <c r="GF50" t="e">
        <f>AND(#REF!,"AAAAAEjXlbs=")</f>
        <v>#REF!</v>
      </c>
      <c r="GG50" t="e">
        <f>AND(#REF!,"AAAAAEjXlbw=")</f>
        <v>#REF!</v>
      </c>
      <c r="GH50" t="e">
        <f>AND(#REF!,"AAAAAEjXlb0=")</f>
        <v>#REF!</v>
      </c>
      <c r="GI50" t="e">
        <f>AND(#REF!,"AAAAAEjXlb4=")</f>
        <v>#REF!</v>
      </c>
      <c r="GJ50" t="e">
        <f>AND(#REF!,"AAAAAEjXlb8=")</f>
        <v>#REF!</v>
      </c>
      <c r="GK50" t="e">
        <f>AND(#REF!,"AAAAAEjXlcA=")</f>
        <v>#REF!</v>
      </c>
      <c r="GL50" t="e">
        <f>AND(#REF!,"AAAAAEjXlcE=")</f>
        <v>#REF!</v>
      </c>
      <c r="GM50" t="e">
        <f>AND(#REF!,"AAAAAEjXlcI=")</f>
        <v>#REF!</v>
      </c>
      <c r="GN50" t="e">
        <f>AND(#REF!,"AAAAAEjXlcM=")</f>
        <v>#REF!</v>
      </c>
      <c r="GO50" t="e">
        <f>AND(#REF!,"AAAAAEjXlcQ=")</f>
        <v>#REF!</v>
      </c>
      <c r="GP50" t="e">
        <f>AND(#REF!,"AAAAAEjXlcU=")</f>
        <v>#REF!</v>
      </c>
      <c r="GQ50" t="e">
        <f>AND(#REF!,"AAAAAEjXlcY=")</f>
        <v>#REF!</v>
      </c>
      <c r="GR50" t="e">
        <f>AND(#REF!,"AAAAAEjXlcc=")</f>
        <v>#REF!</v>
      </c>
      <c r="GS50" t="e">
        <f>AND(#REF!,"AAAAAEjXlcg=")</f>
        <v>#REF!</v>
      </c>
      <c r="GT50" t="e">
        <f>AND(#REF!,"AAAAAEjXlck=")</f>
        <v>#REF!</v>
      </c>
      <c r="GU50" t="e">
        <f>AND(#REF!,"AAAAAEjXlco=")</f>
        <v>#REF!</v>
      </c>
      <c r="GV50" t="e">
        <f>AND(#REF!,"AAAAAEjXlcs=")</f>
        <v>#REF!</v>
      </c>
      <c r="GW50" t="e">
        <f>AND(#REF!,"AAAAAEjXlcw=")</f>
        <v>#REF!</v>
      </c>
      <c r="GX50" t="e">
        <f>AND(#REF!,"AAAAAEjXlc0=")</f>
        <v>#REF!</v>
      </c>
      <c r="GY50" t="e">
        <f>AND(#REF!,"AAAAAEjXlc4=")</f>
        <v>#REF!</v>
      </c>
      <c r="GZ50" t="e">
        <f>AND(#REF!,"AAAAAEjXlc8=")</f>
        <v>#REF!</v>
      </c>
      <c r="HA50" t="e">
        <f>AND(#REF!,"AAAAAEjXldA=")</f>
        <v>#REF!</v>
      </c>
      <c r="HB50" t="e">
        <f>AND(#REF!,"AAAAAEjXldE=")</f>
        <v>#REF!</v>
      </c>
      <c r="HC50" t="e">
        <f>AND(#REF!,"AAAAAEjXldI=")</f>
        <v>#REF!</v>
      </c>
      <c r="HD50" t="e">
        <f>AND(#REF!,"AAAAAEjXldM=")</f>
        <v>#REF!</v>
      </c>
      <c r="HE50" t="e">
        <f>AND(#REF!,"AAAAAEjXldQ=")</f>
        <v>#REF!</v>
      </c>
      <c r="HF50" t="e">
        <f>AND(#REF!,"AAAAAEjXldU=")</f>
        <v>#REF!</v>
      </c>
      <c r="HG50" t="e">
        <f>AND(#REF!,"AAAAAEjXldY=")</f>
        <v>#REF!</v>
      </c>
      <c r="HH50" t="e">
        <f>AND(#REF!,"AAAAAEjXldc=")</f>
        <v>#REF!</v>
      </c>
      <c r="HI50" t="e">
        <f>AND(#REF!,"AAAAAEjXldg=")</f>
        <v>#REF!</v>
      </c>
      <c r="HJ50" t="e">
        <f>AND(#REF!,"AAAAAEjXldk=")</f>
        <v>#REF!</v>
      </c>
      <c r="HK50" t="e">
        <f>AND(#REF!,"AAAAAEjXldo=")</f>
        <v>#REF!</v>
      </c>
      <c r="HL50" t="e">
        <f>AND(#REF!,"AAAAAEjXlds=")</f>
        <v>#REF!</v>
      </c>
      <c r="HM50" t="e">
        <f>AND(#REF!,"AAAAAEjXldw=")</f>
        <v>#REF!</v>
      </c>
      <c r="HN50" t="e">
        <f>AND(#REF!,"AAAAAEjXld0=")</f>
        <v>#REF!</v>
      </c>
      <c r="HO50" t="e">
        <f>AND(#REF!,"AAAAAEjXld4=")</f>
        <v>#REF!</v>
      </c>
      <c r="HP50" t="e">
        <f>AND(#REF!,"AAAAAEjXld8=")</f>
        <v>#REF!</v>
      </c>
      <c r="HQ50" t="e">
        <f>AND(#REF!,"AAAAAEjXleA=")</f>
        <v>#REF!</v>
      </c>
      <c r="HR50" t="e">
        <f>AND(#REF!,"AAAAAEjXleE=")</f>
        <v>#REF!</v>
      </c>
      <c r="HS50" t="e">
        <f>AND(#REF!,"AAAAAEjXleI=")</f>
        <v>#REF!</v>
      </c>
      <c r="HT50" t="e">
        <f>AND(#REF!,"AAAAAEjXleM=")</f>
        <v>#REF!</v>
      </c>
      <c r="HU50" t="e">
        <f>AND(#REF!,"AAAAAEjXleQ=")</f>
        <v>#REF!</v>
      </c>
      <c r="HV50" t="e">
        <f>AND(#REF!,"AAAAAEjXleU=")</f>
        <v>#REF!</v>
      </c>
      <c r="HW50" t="e">
        <f>AND(#REF!,"AAAAAEjXleY=")</f>
        <v>#REF!</v>
      </c>
      <c r="HX50" t="e">
        <f>AND(#REF!,"AAAAAEjXlec=")</f>
        <v>#REF!</v>
      </c>
      <c r="HY50" t="e">
        <f>AND(#REF!,"AAAAAEjXleg=")</f>
        <v>#REF!</v>
      </c>
      <c r="HZ50" t="e">
        <f>AND(#REF!,"AAAAAEjXlek=")</f>
        <v>#REF!</v>
      </c>
      <c r="IA50" t="e">
        <f>AND(#REF!,"AAAAAEjXleo=")</f>
        <v>#REF!</v>
      </c>
      <c r="IB50" t="e">
        <f>AND(#REF!,"AAAAAEjXles=")</f>
        <v>#REF!</v>
      </c>
      <c r="IC50" t="e">
        <f>AND(#REF!,"AAAAAEjXlew=")</f>
        <v>#REF!</v>
      </c>
      <c r="ID50" t="e">
        <f>AND(#REF!,"AAAAAEjXle0=")</f>
        <v>#REF!</v>
      </c>
      <c r="IE50" t="e">
        <f>AND(#REF!,"AAAAAEjXle4=")</f>
        <v>#REF!</v>
      </c>
      <c r="IF50" t="e">
        <f>IF(#REF!,"AAAAAEjXle8=",0)</f>
        <v>#REF!</v>
      </c>
      <c r="IG50" t="e">
        <f>AND(#REF!,"AAAAAEjXlfA=")</f>
        <v>#REF!</v>
      </c>
      <c r="IH50" t="e">
        <f>AND(#REF!,"AAAAAEjXlfE=")</f>
        <v>#REF!</v>
      </c>
      <c r="II50" t="e">
        <f>AND(#REF!,"AAAAAEjXlfI=")</f>
        <v>#REF!</v>
      </c>
      <c r="IJ50" t="e">
        <f>AND(#REF!,"AAAAAEjXlfM=")</f>
        <v>#REF!</v>
      </c>
      <c r="IK50" t="e">
        <f>AND(#REF!,"AAAAAEjXlfQ=")</f>
        <v>#REF!</v>
      </c>
      <c r="IL50" t="e">
        <f>AND(#REF!,"AAAAAEjXlfU=")</f>
        <v>#REF!</v>
      </c>
      <c r="IM50" t="e">
        <f>AND(#REF!,"AAAAAEjXlfY=")</f>
        <v>#REF!</v>
      </c>
      <c r="IN50" t="e">
        <f>AND(#REF!,"AAAAAEjXlfc=")</f>
        <v>#REF!</v>
      </c>
      <c r="IO50" t="e">
        <f>AND(#REF!,"AAAAAEjXlfg=")</f>
        <v>#REF!</v>
      </c>
      <c r="IP50" t="e">
        <f>AND(#REF!,"AAAAAEjXlfk=")</f>
        <v>#REF!</v>
      </c>
      <c r="IQ50" t="e">
        <f>AND(#REF!,"AAAAAEjXlfo=")</f>
        <v>#REF!</v>
      </c>
      <c r="IR50" t="e">
        <f>AND(#REF!,"AAAAAEjXlfs=")</f>
        <v>#REF!</v>
      </c>
      <c r="IS50" t="e">
        <f>AND(#REF!,"AAAAAEjXlfw=")</f>
        <v>#REF!</v>
      </c>
      <c r="IT50" t="e">
        <f>AND(#REF!,"AAAAAEjXlf0=")</f>
        <v>#REF!</v>
      </c>
      <c r="IU50" t="e">
        <f>AND(#REF!,"AAAAAEjXlf4=")</f>
        <v>#REF!</v>
      </c>
      <c r="IV50" t="e">
        <f>AND(#REF!,"AAAAAEjXlf8=")</f>
        <v>#REF!</v>
      </c>
    </row>
    <row r="51" spans="1:256" ht="15">
      <c r="A51" t="e">
        <f>AND(#REF!,"AAAAAG68fwA=")</f>
        <v>#REF!</v>
      </c>
      <c r="B51" t="e">
        <f>AND(#REF!,"AAAAAG68fwE=")</f>
        <v>#REF!</v>
      </c>
      <c r="C51" t="e">
        <f>AND(#REF!,"AAAAAG68fwI=")</f>
        <v>#REF!</v>
      </c>
      <c r="D51" t="e">
        <f>AND(#REF!,"AAAAAG68fwM=")</f>
        <v>#REF!</v>
      </c>
      <c r="E51" t="e">
        <f>AND(#REF!,"AAAAAG68fwQ=")</f>
        <v>#REF!</v>
      </c>
      <c r="F51" t="e">
        <f>AND(#REF!,"AAAAAG68fwU=")</f>
        <v>#REF!</v>
      </c>
      <c r="G51" t="e">
        <f>AND(#REF!,"AAAAAG68fwY=")</f>
        <v>#REF!</v>
      </c>
      <c r="H51" t="e">
        <f>AND(#REF!,"AAAAAG68fwc=")</f>
        <v>#REF!</v>
      </c>
      <c r="I51" t="e">
        <f>AND(#REF!,"AAAAAG68fwg=")</f>
        <v>#REF!</v>
      </c>
      <c r="J51" t="e">
        <f>AND(#REF!,"AAAAAG68fwk=")</f>
        <v>#REF!</v>
      </c>
      <c r="K51" t="e">
        <f>AND(#REF!,"AAAAAG68fwo=")</f>
        <v>#REF!</v>
      </c>
      <c r="L51" t="e">
        <f>AND(#REF!,"AAAAAG68fws=")</f>
        <v>#REF!</v>
      </c>
      <c r="M51" t="e">
        <f>AND(#REF!,"AAAAAG68fww=")</f>
        <v>#REF!</v>
      </c>
      <c r="N51" t="e">
        <f>AND(#REF!,"AAAAAG68fw0=")</f>
        <v>#REF!</v>
      </c>
      <c r="O51" t="e">
        <f>AND(#REF!,"AAAAAG68fw4=")</f>
        <v>#REF!</v>
      </c>
      <c r="P51" t="e">
        <f>AND(#REF!,"AAAAAG68fw8=")</f>
        <v>#REF!</v>
      </c>
      <c r="Q51" t="e">
        <f>AND(#REF!,"AAAAAG68fxA=")</f>
        <v>#REF!</v>
      </c>
      <c r="R51" t="e">
        <f>AND(#REF!,"AAAAAG68fxE=")</f>
        <v>#REF!</v>
      </c>
      <c r="S51" t="e">
        <f>AND(#REF!,"AAAAAG68fxI=")</f>
        <v>#REF!</v>
      </c>
      <c r="T51" t="e">
        <f>AND(#REF!,"AAAAAG68fxM=")</f>
        <v>#REF!</v>
      </c>
      <c r="U51" t="e">
        <f>AND(#REF!,"AAAAAG68fxQ=")</f>
        <v>#REF!</v>
      </c>
      <c r="V51" t="e">
        <f>AND(#REF!,"AAAAAG68fxU=")</f>
        <v>#REF!</v>
      </c>
      <c r="W51" t="e">
        <f>AND(#REF!,"AAAAAG68fxY=")</f>
        <v>#REF!</v>
      </c>
      <c r="X51" t="e">
        <f>AND(#REF!,"AAAAAG68fxc=")</f>
        <v>#REF!</v>
      </c>
      <c r="Y51" t="e">
        <f>AND(#REF!,"AAAAAG68fxg=")</f>
        <v>#REF!</v>
      </c>
      <c r="Z51" t="e">
        <f>AND(#REF!,"AAAAAG68fxk=")</f>
        <v>#REF!</v>
      </c>
      <c r="AA51" t="e">
        <f>AND(#REF!,"AAAAAG68fxo=")</f>
        <v>#REF!</v>
      </c>
      <c r="AB51" t="e">
        <f>AND(#REF!,"AAAAAG68fxs=")</f>
        <v>#REF!</v>
      </c>
      <c r="AC51" t="e">
        <f>AND(#REF!,"AAAAAG68fxw=")</f>
        <v>#REF!</v>
      </c>
      <c r="AD51" t="e">
        <f>AND(#REF!,"AAAAAG68fx0=")</f>
        <v>#REF!</v>
      </c>
      <c r="AE51" t="e">
        <f>AND(#REF!,"AAAAAG68fx4=")</f>
        <v>#REF!</v>
      </c>
      <c r="AF51" t="e">
        <f>AND(#REF!,"AAAAAG68fx8=")</f>
        <v>#REF!</v>
      </c>
      <c r="AG51" t="e">
        <f>AND(#REF!,"AAAAAG68fyA=")</f>
        <v>#REF!</v>
      </c>
      <c r="AH51" t="e">
        <f>AND(#REF!,"AAAAAG68fyE=")</f>
        <v>#REF!</v>
      </c>
      <c r="AI51" t="e">
        <f>AND(#REF!,"AAAAAG68fyI=")</f>
        <v>#REF!</v>
      </c>
      <c r="AJ51" t="e">
        <f>AND(#REF!,"AAAAAG68fyM=")</f>
        <v>#REF!</v>
      </c>
      <c r="AK51" t="e">
        <f>AND(#REF!,"AAAAAG68fyQ=")</f>
        <v>#REF!</v>
      </c>
      <c r="AL51" t="e">
        <f>AND(#REF!,"AAAAAG68fyU=")</f>
        <v>#REF!</v>
      </c>
      <c r="AM51" t="e">
        <f>AND(#REF!,"AAAAAG68fyY=")</f>
        <v>#REF!</v>
      </c>
      <c r="AN51" t="e">
        <f>AND(#REF!,"AAAAAG68fyc=")</f>
        <v>#REF!</v>
      </c>
      <c r="AO51" t="e">
        <f>AND(#REF!,"AAAAAG68fyg=")</f>
        <v>#REF!</v>
      </c>
      <c r="AP51" t="e">
        <f>AND(#REF!,"AAAAAG68fyk=")</f>
        <v>#REF!</v>
      </c>
      <c r="AQ51" t="e">
        <f>AND(#REF!,"AAAAAG68fyo=")</f>
        <v>#REF!</v>
      </c>
      <c r="AR51" t="e">
        <f>AND(#REF!,"AAAAAG68fys=")</f>
        <v>#REF!</v>
      </c>
      <c r="AS51" t="e">
        <f>AND(#REF!,"AAAAAG68fyw=")</f>
        <v>#REF!</v>
      </c>
      <c r="AT51" t="e">
        <f>AND(#REF!,"AAAAAG68fy0=")</f>
        <v>#REF!</v>
      </c>
      <c r="AU51" t="e">
        <f>AND(#REF!,"AAAAAG68fy4=")</f>
        <v>#REF!</v>
      </c>
      <c r="AV51" t="e">
        <f>AND(#REF!,"AAAAAG68fy8=")</f>
        <v>#REF!</v>
      </c>
      <c r="AW51" t="e">
        <f>AND(#REF!,"AAAAAG68fzA=")</f>
        <v>#REF!</v>
      </c>
      <c r="AX51" t="e">
        <f>AND(#REF!,"AAAAAG68fzE=")</f>
        <v>#REF!</v>
      </c>
      <c r="AY51" t="e">
        <f>AND(#REF!,"AAAAAG68fzI=")</f>
        <v>#REF!</v>
      </c>
      <c r="AZ51" t="e">
        <f>AND(#REF!,"AAAAAG68fzM=")</f>
        <v>#REF!</v>
      </c>
      <c r="BA51" t="e">
        <f>AND(#REF!,"AAAAAG68fzQ=")</f>
        <v>#REF!</v>
      </c>
      <c r="BB51" t="e">
        <f>AND(#REF!,"AAAAAG68fzU=")</f>
        <v>#REF!</v>
      </c>
      <c r="BC51" t="e">
        <f>AND(#REF!,"AAAAAG68fzY=")</f>
        <v>#REF!</v>
      </c>
      <c r="BD51" t="e">
        <f>AND(#REF!,"AAAAAG68fzc=")</f>
        <v>#REF!</v>
      </c>
      <c r="BE51" t="e">
        <f>AND(#REF!,"AAAAAG68fzg=")</f>
        <v>#REF!</v>
      </c>
      <c r="BF51" t="e">
        <f>AND(#REF!,"AAAAAG68fzk=")</f>
        <v>#REF!</v>
      </c>
      <c r="BG51" t="e">
        <f>AND(#REF!,"AAAAAG68fzo=")</f>
        <v>#REF!</v>
      </c>
      <c r="BH51" t="e">
        <f>AND(#REF!,"AAAAAG68fzs=")</f>
        <v>#REF!</v>
      </c>
      <c r="BI51" t="e">
        <f>AND(#REF!,"AAAAAG68fzw=")</f>
        <v>#REF!</v>
      </c>
      <c r="BJ51" t="e">
        <f>AND(#REF!,"AAAAAG68fz0=")</f>
        <v>#REF!</v>
      </c>
      <c r="BK51" t="e">
        <f>AND(#REF!,"AAAAAG68fz4=")</f>
        <v>#REF!</v>
      </c>
      <c r="BL51" t="e">
        <f>AND(#REF!,"AAAAAG68fz8=")</f>
        <v>#REF!</v>
      </c>
      <c r="BM51" t="e">
        <f>AND(#REF!,"AAAAAG68f0A=")</f>
        <v>#REF!</v>
      </c>
      <c r="BN51" t="e">
        <f>AND(#REF!,"AAAAAG68f0E=")</f>
        <v>#REF!</v>
      </c>
      <c r="BO51" t="e">
        <f>AND(#REF!,"AAAAAG68f0I=")</f>
        <v>#REF!</v>
      </c>
      <c r="BP51" t="e">
        <f>AND(#REF!,"AAAAAG68f0M=")</f>
        <v>#REF!</v>
      </c>
      <c r="BQ51" t="e">
        <f>AND(#REF!,"AAAAAG68f0Q=")</f>
        <v>#REF!</v>
      </c>
      <c r="BR51" t="e">
        <f>AND(#REF!,"AAAAAG68f0U=")</f>
        <v>#REF!</v>
      </c>
      <c r="BS51" t="e">
        <f>AND(#REF!,"AAAAAG68f0Y=")</f>
        <v>#REF!</v>
      </c>
      <c r="BT51" t="e">
        <f>AND(#REF!,"AAAAAG68f0c=")</f>
        <v>#REF!</v>
      </c>
      <c r="BU51" t="e">
        <f>AND(#REF!,"AAAAAG68f0g=")</f>
        <v>#REF!</v>
      </c>
      <c r="BV51" t="e">
        <f>AND(#REF!,"AAAAAG68f0k=")</f>
        <v>#REF!</v>
      </c>
      <c r="BW51" t="e">
        <f>AND(#REF!,"AAAAAG68f0o=")</f>
        <v>#REF!</v>
      </c>
      <c r="BX51" t="e">
        <f>AND(#REF!,"AAAAAG68f0s=")</f>
        <v>#REF!</v>
      </c>
      <c r="BY51" t="e">
        <f>AND(#REF!,"AAAAAG68f0w=")</f>
        <v>#REF!</v>
      </c>
      <c r="BZ51" t="e">
        <f>AND(#REF!,"AAAAAG68f00=")</f>
        <v>#REF!</v>
      </c>
      <c r="CA51" t="e">
        <f>AND(#REF!,"AAAAAG68f04=")</f>
        <v>#REF!</v>
      </c>
      <c r="CB51" t="e">
        <f>AND(#REF!,"AAAAAG68f08=")</f>
        <v>#REF!</v>
      </c>
      <c r="CC51" t="e">
        <f>AND(#REF!,"AAAAAG68f1A=")</f>
        <v>#REF!</v>
      </c>
      <c r="CD51" t="e">
        <f>AND(#REF!,"AAAAAG68f1E=")</f>
        <v>#REF!</v>
      </c>
      <c r="CE51" t="e">
        <f>AND(#REF!,"AAAAAG68f1I=")</f>
        <v>#REF!</v>
      </c>
      <c r="CF51" t="e">
        <f>AND(#REF!,"AAAAAG68f1M=")</f>
        <v>#REF!</v>
      </c>
      <c r="CG51" t="e">
        <f>AND(#REF!,"AAAAAG68f1Q=")</f>
        <v>#REF!</v>
      </c>
      <c r="CH51" t="e">
        <f>AND(#REF!,"AAAAAG68f1U=")</f>
        <v>#REF!</v>
      </c>
      <c r="CI51" t="e">
        <f>AND(#REF!,"AAAAAG68f1Y=")</f>
        <v>#REF!</v>
      </c>
      <c r="CJ51" t="e">
        <f>AND(#REF!,"AAAAAG68f1c=")</f>
        <v>#REF!</v>
      </c>
      <c r="CK51" t="e">
        <f>AND(#REF!,"AAAAAG68f1g=")</f>
        <v>#REF!</v>
      </c>
      <c r="CL51" t="e">
        <f>AND(#REF!,"AAAAAG68f1k=")</f>
        <v>#REF!</v>
      </c>
      <c r="CM51" t="e">
        <f>AND(#REF!,"AAAAAG68f1o=")</f>
        <v>#REF!</v>
      </c>
      <c r="CN51" t="e">
        <f>AND(#REF!,"AAAAAG68f1s=")</f>
        <v>#REF!</v>
      </c>
      <c r="CO51" t="e">
        <f>AND(#REF!,"AAAAAG68f1w=")</f>
        <v>#REF!</v>
      </c>
      <c r="CP51" t="e">
        <f>AND(#REF!,"AAAAAG68f10=")</f>
        <v>#REF!</v>
      </c>
      <c r="CQ51" t="e">
        <f>AND(#REF!,"AAAAAG68f14=")</f>
        <v>#REF!</v>
      </c>
      <c r="CR51" t="e">
        <f>AND(#REF!,"AAAAAG68f18=")</f>
        <v>#REF!</v>
      </c>
      <c r="CS51" t="e">
        <f>AND(#REF!,"AAAAAG68f2A=")</f>
        <v>#REF!</v>
      </c>
      <c r="CT51" t="e">
        <f>AND(#REF!,"AAAAAG68f2E=")</f>
        <v>#REF!</v>
      </c>
      <c r="CU51" t="e">
        <f>AND(#REF!,"AAAAAG68f2I=")</f>
        <v>#REF!</v>
      </c>
      <c r="CV51" t="e">
        <f>AND(#REF!,"AAAAAG68f2M=")</f>
        <v>#REF!</v>
      </c>
      <c r="CW51" t="e">
        <f>AND(#REF!,"AAAAAG68f2Q=")</f>
        <v>#REF!</v>
      </c>
      <c r="CX51" t="e">
        <f>AND(#REF!,"AAAAAG68f2U=")</f>
        <v>#REF!</v>
      </c>
      <c r="CY51" t="e">
        <f>AND(#REF!,"AAAAAG68f2Y=")</f>
        <v>#REF!</v>
      </c>
      <c r="CZ51" t="e">
        <f>AND(#REF!,"AAAAAG68f2c=")</f>
        <v>#REF!</v>
      </c>
      <c r="DA51" t="e">
        <f>AND(#REF!,"AAAAAG68f2g=")</f>
        <v>#REF!</v>
      </c>
      <c r="DB51" t="e">
        <f>AND(#REF!,"AAAAAG68f2k=")</f>
        <v>#REF!</v>
      </c>
      <c r="DC51" t="e">
        <f>AND(#REF!,"AAAAAG68f2o=")</f>
        <v>#REF!</v>
      </c>
      <c r="DD51" t="e">
        <f>AND(#REF!,"AAAAAG68f2s=")</f>
        <v>#REF!</v>
      </c>
      <c r="DE51" t="e">
        <f>AND(#REF!,"AAAAAG68f2w=")</f>
        <v>#REF!</v>
      </c>
      <c r="DF51" t="e">
        <f>AND(#REF!,"AAAAAG68f20=")</f>
        <v>#REF!</v>
      </c>
      <c r="DG51" t="e">
        <f>AND(#REF!,"AAAAAG68f24=")</f>
        <v>#REF!</v>
      </c>
      <c r="DH51" t="e">
        <f>AND(#REF!,"AAAAAG68f28=")</f>
        <v>#REF!</v>
      </c>
      <c r="DI51" t="e">
        <f>AND(#REF!,"AAAAAG68f3A=")</f>
        <v>#REF!</v>
      </c>
      <c r="DJ51" t="e">
        <f>AND(#REF!,"AAAAAG68f3E=")</f>
        <v>#REF!</v>
      </c>
      <c r="DK51" t="e">
        <f>AND(#REF!,"AAAAAG68f3I=")</f>
        <v>#REF!</v>
      </c>
      <c r="DL51" t="e">
        <f>AND(#REF!,"AAAAAG68f3M=")</f>
        <v>#REF!</v>
      </c>
      <c r="DM51" t="e">
        <f>AND(#REF!,"AAAAAG68f3Q=")</f>
        <v>#REF!</v>
      </c>
      <c r="DN51" t="e">
        <f>AND(#REF!,"AAAAAG68f3U=")</f>
        <v>#REF!</v>
      </c>
      <c r="DO51" t="e">
        <f>AND(#REF!,"AAAAAG68f3Y=")</f>
        <v>#REF!</v>
      </c>
      <c r="DP51" t="e">
        <f>IF(#REF!,"AAAAAG68f3c=",0)</f>
        <v>#REF!</v>
      </c>
      <c r="DQ51" t="e">
        <f>AND(#REF!,"AAAAAG68f3g=")</f>
        <v>#REF!</v>
      </c>
      <c r="DR51" t="e">
        <f>AND(#REF!,"AAAAAG68f3k=")</f>
        <v>#REF!</v>
      </c>
      <c r="DS51" t="e">
        <f>AND(#REF!,"AAAAAG68f3o=")</f>
        <v>#REF!</v>
      </c>
      <c r="DT51" t="e">
        <f>AND(#REF!,"AAAAAG68f3s=")</f>
        <v>#REF!</v>
      </c>
      <c r="DU51" t="e">
        <f>AND(#REF!,"AAAAAG68f3w=")</f>
        <v>#REF!</v>
      </c>
      <c r="DV51" t="e">
        <f>AND(#REF!,"AAAAAG68f30=")</f>
        <v>#REF!</v>
      </c>
      <c r="DW51" t="e">
        <f>AND(#REF!,"AAAAAG68f34=")</f>
        <v>#REF!</v>
      </c>
      <c r="DX51" t="e">
        <f>AND(#REF!,"AAAAAG68f38=")</f>
        <v>#REF!</v>
      </c>
      <c r="DY51" t="e">
        <f>AND(#REF!,"AAAAAG68f4A=")</f>
        <v>#REF!</v>
      </c>
      <c r="DZ51" t="e">
        <f>AND(#REF!,"AAAAAG68f4E=")</f>
        <v>#REF!</v>
      </c>
      <c r="EA51" t="e">
        <f>AND(#REF!,"AAAAAG68f4I=")</f>
        <v>#REF!</v>
      </c>
      <c r="EB51" t="e">
        <f>AND(#REF!,"AAAAAG68f4M=")</f>
        <v>#REF!</v>
      </c>
      <c r="EC51" t="e">
        <f>AND(#REF!,"AAAAAG68f4Q=")</f>
        <v>#REF!</v>
      </c>
      <c r="ED51" t="e">
        <f>AND(#REF!,"AAAAAG68f4U=")</f>
        <v>#REF!</v>
      </c>
      <c r="EE51" t="e">
        <f>AND(#REF!,"AAAAAG68f4Y=")</f>
        <v>#REF!</v>
      </c>
      <c r="EF51" t="e">
        <f>AND(#REF!,"AAAAAG68f4c=")</f>
        <v>#REF!</v>
      </c>
      <c r="EG51" t="e">
        <f>AND(#REF!,"AAAAAG68f4g=")</f>
        <v>#REF!</v>
      </c>
      <c r="EH51" t="e">
        <f>AND(#REF!,"AAAAAG68f4k=")</f>
        <v>#REF!</v>
      </c>
      <c r="EI51" t="e">
        <f>AND(#REF!,"AAAAAG68f4o=")</f>
        <v>#REF!</v>
      </c>
      <c r="EJ51" t="e">
        <f>AND(#REF!,"AAAAAG68f4s=")</f>
        <v>#REF!</v>
      </c>
      <c r="EK51" t="e">
        <f>AND(#REF!,"AAAAAG68f4w=")</f>
        <v>#REF!</v>
      </c>
      <c r="EL51" t="e">
        <f>AND(#REF!,"AAAAAG68f40=")</f>
        <v>#REF!</v>
      </c>
      <c r="EM51" t="e">
        <f>AND(#REF!,"AAAAAG68f44=")</f>
        <v>#REF!</v>
      </c>
      <c r="EN51" t="e">
        <f>AND(#REF!,"AAAAAG68f48=")</f>
        <v>#REF!</v>
      </c>
      <c r="EO51" t="e">
        <f>AND(#REF!,"AAAAAG68f5A=")</f>
        <v>#REF!</v>
      </c>
      <c r="EP51" t="e">
        <f>AND(#REF!,"AAAAAG68f5E=")</f>
        <v>#REF!</v>
      </c>
      <c r="EQ51" t="e">
        <f>AND(#REF!,"AAAAAG68f5I=")</f>
        <v>#REF!</v>
      </c>
      <c r="ER51" t="e">
        <f>AND(#REF!,"AAAAAG68f5M=")</f>
        <v>#REF!</v>
      </c>
      <c r="ES51" t="e">
        <f>AND(#REF!,"AAAAAG68f5Q=")</f>
        <v>#REF!</v>
      </c>
      <c r="ET51" t="e">
        <f>AND(#REF!,"AAAAAG68f5U=")</f>
        <v>#REF!</v>
      </c>
      <c r="EU51" t="e">
        <f>AND(#REF!,"AAAAAG68f5Y=")</f>
        <v>#REF!</v>
      </c>
      <c r="EV51" t="e">
        <f>AND(#REF!,"AAAAAG68f5c=")</f>
        <v>#REF!</v>
      </c>
      <c r="EW51" t="e">
        <f>AND(#REF!,"AAAAAG68f5g=")</f>
        <v>#REF!</v>
      </c>
      <c r="EX51" t="e">
        <f>AND(#REF!,"AAAAAG68f5k=")</f>
        <v>#REF!</v>
      </c>
      <c r="EY51" t="e">
        <f>AND(#REF!,"AAAAAG68f5o=")</f>
        <v>#REF!</v>
      </c>
      <c r="EZ51" t="e">
        <f>AND(#REF!,"AAAAAG68f5s=")</f>
        <v>#REF!</v>
      </c>
      <c r="FA51" t="e">
        <f>AND(#REF!,"AAAAAG68f5w=")</f>
        <v>#REF!</v>
      </c>
      <c r="FB51" t="e">
        <f>AND(#REF!,"AAAAAG68f50=")</f>
        <v>#REF!</v>
      </c>
      <c r="FC51" t="e">
        <f>AND(#REF!,"AAAAAG68f54=")</f>
        <v>#REF!</v>
      </c>
      <c r="FD51" t="e">
        <f>AND(#REF!,"AAAAAG68f58=")</f>
        <v>#REF!</v>
      </c>
      <c r="FE51" t="e">
        <f>AND(#REF!,"AAAAAG68f6A=")</f>
        <v>#REF!</v>
      </c>
      <c r="FF51" t="e">
        <f>AND(#REF!,"AAAAAG68f6E=")</f>
        <v>#REF!</v>
      </c>
      <c r="FG51" t="e">
        <f>AND(#REF!,"AAAAAG68f6I=")</f>
        <v>#REF!</v>
      </c>
      <c r="FH51" t="e">
        <f>AND(#REF!,"AAAAAG68f6M=")</f>
        <v>#REF!</v>
      </c>
      <c r="FI51" t="e">
        <f>AND(#REF!,"AAAAAG68f6Q=")</f>
        <v>#REF!</v>
      </c>
      <c r="FJ51" t="e">
        <f>AND(#REF!,"AAAAAG68f6U=")</f>
        <v>#REF!</v>
      </c>
      <c r="FK51" t="e">
        <f>AND(#REF!,"AAAAAG68f6Y=")</f>
        <v>#REF!</v>
      </c>
      <c r="FL51" t="e">
        <f>AND(#REF!,"AAAAAG68f6c=")</f>
        <v>#REF!</v>
      </c>
      <c r="FM51" t="e">
        <f>AND(#REF!,"AAAAAG68f6g=")</f>
        <v>#REF!</v>
      </c>
      <c r="FN51" t="e">
        <f>AND(#REF!,"AAAAAG68f6k=")</f>
        <v>#REF!</v>
      </c>
      <c r="FO51" t="e">
        <f>AND(#REF!,"AAAAAG68f6o=")</f>
        <v>#REF!</v>
      </c>
      <c r="FP51" t="e">
        <f>AND(#REF!,"AAAAAG68f6s=")</f>
        <v>#REF!</v>
      </c>
      <c r="FQ51" t="e">
        <f>AND(#REF!,"AAAAAG68f6w=")</f>
        <v>#REF!</v>
      </c>
      <c r="FR51" t="e">
        <f>AND(#REF!,"AAAAAG68f60=")</f>
        <v>#REF!</v>
      </c>
      <c r="FS51" t="e">
        <f>AND(#REF!,"AAAAAG68f64=")</f>
        <v>#REF!</v>
      </c>
      <c r="FT51" t="e">
        <f>AND(#REF!,"AAAAAG68f68=")</f>
        <v>#REF!</v>
      </c>
      <c r="FU51" t="e">
        <f>AND(#REF!,"AAAAAG68f7A=")</f>
        <v>#REF!</v>
      </c>
      <c r="FV51" t="e">
        <f>AND(#REF!,"AAAAAG68f7E=")</f>
        <v>#REF!</v>
      </c>
      <c r="FW51" t="e">
        <f>AND(#REF!,"AAAAAG68f7I=")</f>
        <v>#REF!</v>
      </c>
      <c r="FX51" t="e">
        <f>AND(#REF!,"AAAAAG68f7M=")</f>
        <v>#REF!</v>
      </c>
      <c r="FY51" t="e">
        <f>AND(#REF!,"AAAAAG68f7Q=")</f>
        <v>#REF!</v>
      </c>
      <c r="FZ51" t="e">
        <f>AND(#REF!,"AAAAAG68f7U=")</f>
        <v>#REF!</v>
      </c>
      <c r="GA51" t="e">
        <f>AND(#REF!,"AAAAAG68f7Y=")</f>
        <v>#REF!</v>
      </c>
      <c r="GB51" t="e">
        <f>AND(#REF!,"AAAAAG68f7c=")</f>
        <v>#REF!</v>
      </c>
      <c r="GC51" t="e">
        <f>AND(#REF!,"AAAAAG68f7g=")</f>
        <v>#REF!</v>
      </c>
      <c r="GD51" t="e">
        <f>AND(#REF!,"AAAAAG68f7k=")</f>
        <v>#REF!</v>
      </c>
      <c r="GE51" t="e">
        <f>AND(#REF!,"AAAAAG68f7o=")</f>
        <v>#REF!</v>
      </c>
      <c r="GF51" t="e">
        <f>AND(#REF!,"AAAAAG68f7s=")</f>
        <v>#REF!</v>
      </c>
      <c r="GG51" t="e">
        <f>AND(#REF!,"AAAAAG68f7w=")</f>
        <v>#REF!</v>
      </c>
      <c r="GH51" t="e">
        <f>AND(#REF!,"AAAAAG68f70=")</f>
        <v>#REF!</v>
      </c>
      <c r="GI51" t="e">
        <f>AND(#REF!,"AAAAAG68f74=")</f>
        <v>#REF!</v>
      </c>
      <c r="GJ51" t="e">
        <f>AND(#REF!,"AAAAAG68f78=")</f>
        <v>#REF!</v>
      </c>
      <c r="GK51" t="e">
        <f>AND(#REF!,"AAAAAG68f8A=")</f>
        <v>#REF!</v>
      </c>
      <c r="GL51" t="e">
        <f>AND(#REF!,"AAAAAG68f8E=")</f>
        <v>#REF!</v>
      </c>
      <c r="GM51" t="e">
        <f>AND(#REF!,"AAAAAG68f8I=")</f>
        <v>#REF!</v>
      </c>
      <c r="GN51" t="e">
        <f>AND(#REF!,"AAAAAG68f8M=")</f>
        <v>#REF!</v>
      </c>
      <c r="GO51" t="e">
        <f>AND(#REF!,"AAAAAG68f8Q=")</f>
        <v>#REF!</v>
      </c>
      <c r="GP51" t="e">
        <f>AND(#REF!,"AAAAAG68f8U=")</f>
        <v>#REF!</v>
      </c>
      <c r="GQ51" t="e">
        <f>AND(#REF!,"AAAAAG68f8Y=")</f>
        <v>#REF!</v>
      </c>
      <c r="GR51" t="e">
        <f>AND(#REF!,"AAAAAG68f8c=")</f>
        <v>#REF!</v>
      </c>
      <c r="GS51" t="e">
        <f>AND(#REF!,"AAAAAG68f8g=")</f>
        <v>#REF!</v>
      </c>
      <c r="GT51" t="e">
        <f>AND(#REF!,"AAAAAG68f8k=")</f>
        <v>#REF!</v>
      </c>
      <c r="GU51" t="e">
        <f>AND(#REF!,"AAAAAG68f8o=")</f>
        <v>#REF!</v>
      </c>
      <c r="GV51" t="e">
        <f>AND(#REF!,"AAAAAG68f8s=")</f>
        <v>#REF!</v>
      </c>
      <c r="GW51" t="e">
        <f>AND(#REF!,"AAAAAG68f8w=")</f>
        <v>#REF!</v>
      </c>
      <c r="GX51" t="e">
        <f>AND(#REF!,"AAAAAG68f80=")</f>
        <v>#REF!</v>
      </c>
      <c r="GY51" t="e">
        <f>AND(#REF!,"AAAAAG68f84=")</f>
        <v>#REF!</v>
      </c>
      <c r="GZ51" t="e">
        <f>AND(#REF!,"AAAAAG68f88=")</f>
        <v>#REF!</v>
      </c>
      <c r="HA51" t="e">
        <f>AND(#REF!,"AAAAAG68f9A=")</f>
        <v>#REF!</v>
      </c>
      <c r="HB51" t="e">
        <f>AND(#REF!,"AAAAAG68f9E=")</f>
        <v>#REF!</v>
      </c>
      <c r="HC51" t="e">
        <f>AND(#REF!,"AAAAAG68f9I=")</f>
        <v>#REF!</v>
      </c>
      <c r="HD51" t="e">
        <f>AND(#REF!,"AAAAAG68f9M=")</f>
        <v>#REF!</v>
      </c>
      <c r="HE51" t="e">
        <f>AND(#REF!,"AAAAAG68f9Q=")</f>
        <v>#REF!</v>
      </c>
      <c r="HF51" t="e">
        <f>AND(#REF!,"AAAAAG68f9U=")</f>
        <v>#REF!</v>
      </c>
      <c r="HG51" t="e">
        <f>AND(#REF!,"AAAAAG68f9Y=")</f>
        <v>#REF!</v>
      </c>
      <c r="HH51" t="e">
        <f>AND(#REF!,"AAAAAG68f9c=")</f>
        <v>#REF!</v>
      </c>
      <c r="HI51" t="e">
        <f>AND(#REF!,"AAAAAG68f9g=")</f>
        <v>#REF!</v>
      </c>
      <c r="HJ51" t="e">
        <f>AND(#REF!,"AAAAAG68f9k=")</f>
        <v>#REF!</v>
      </c>
      <c r="HK51" t="e">
        <f>AND(#REF!,"AAAAAG68f9o=")</f>
        <v>#REF!</v>
      </c>
      <c r="HL51" t="e">
        <f>AND(#REF!,"AAAAAG68f9s=")</f>
        <v>#REF!</v>
      </c>
      <c r="HM51" t="e">
        <f>AND(#REF!,"AAAAAG68f9w=")</f>
        <v>#REF!</v>
      </c>
      <c r="HN51" t="e">
        <f>AND(#REF!,"AAAAAG68f90=")</f>
        <v>#REF!</v>
      </c>
      <c r="HO51" t="e">
        <f>AND(#REF!,"AAAAAG68f94=")</f>
        <v>#REF!</v>
      </c>
      <c r="HP51" t="e">
        <f>AND(#REF!,"AAAAAG68f98=")</f>
        <v>#REF!</v>
      </c>
      <c r="HQ51" t="e">
        <f>AND(#REF!,"AAAAAG68f+A=")</f>
        <v>#REF!</v>
      </c>
      <c r="HR51" t="e">
        <f>AND(#REF!,"AAAAAG68f+E=")</f>
        <v>#REF!</v>
      </c>
      <c r="HS51" t="e">
        <f>AND(#REF!,"AAAAAG68f+I=")</f>
        <v>#REF!</v>
      </c>
      <c r="HT51" t="e">
        <f>AND(#REF!,"AAAAAG68f+M=")</f>
        <v>#REF!</v>
      </c>
      <c r="HU51" t="e">
        <f>AND(#REF!,"AAAAAG68f+Q=")</f>
        <v>#REF!</v>
      </c>
      <c r="HV51" t="e">
        <f>AND(#REF!,"AAAAAG68f+U=")</f>
        <v>#REF!</v>
      </c>
      <c r="HW51" t="e">
        <f>AND(#REF!,"AAAAAG68f+Y=")</f>
        <v>#REF!</v>
      </c>
      <c r="HX51" t="e">
        <f>AND(#REF!,"AAAAAG68f+c=")</f>
        <v>#REF!</v>
      </c>
      <c r="HY51" t="e">
        <f>AND(#REF!,"AAAAAG68f+g=")</f>
        <v>#REF!</v>
      </c>
      <c r="HZ51" t="e">
        <f>AND(#REF!,"AAAAAG68f+k=")</f>
        <v>#REF!</v>
      </c>
      <c r="IA51" t="e">
        <f>AND(#REF!,"AAAAAG68f+o=")</f>
        <v>#REF!</v>
      </c>
      <c r="IB51" t="e">
        <f>AND(#REF!,"AAAAAG68f+s=")</f>
        <v>#REF!</v>
      </c>
      <c r="IC51" t="e">
        <f>AND(#REF!,"AAAAAG68f+w=")</f>
        <v>#REF!</v>
      </c>
      <c r="ID51" t="e">
        <f>AND(#REF!,"AAAAAG68f+0=")</f>
        <v>#REF!</v>
      </c>
      <c r="IE51" t="e">
        <f>AND(#REF!,"AAAAAG68f+4=")</f>
        <v>#REF!</v>
      </c>
      <c r="IF51" t="e">
        <f>AND(#REF!,"AAAAAG68f+8=")</f>
        <v>#REF!</v>
      </c>
      <c r="IG51" t="e">
        <f>AND(#REF!,"AAAAAG68f/A=")</f>
        <v>#REF!</v>
      </c>
      <c r="IH51" t="e">
        <f>AND(#REF!,"AAAAAG68f/E=")</f>
        <v>#REF!</v>
      </c>
      <c r="II51" t="e">
        <f>AND(#REF!,"AAAAAG68f/I=")</f>
        <v>#REF!</v>
      </c>
      <c r="IJ51" t="e">
        <f>AND(#REF!,"AAAAAG68f/M=")</f>
        <v>#REF!</v>
      </c>
      <c r="IK51" t="e">
        <f>AND(#REF!,"AAAAAG68f/Q=")</f>
        <v>#REF!</v>
      </c>
      <c r="IL51" t="e">
        <f>AND(#REF!,"AAAAAG68f/U=")</f>
        <v>#REF!</v>
      </c>
      <c r="IM51" t="e">
        <f>AND(#REF!,"AAAAAG68f/Y=")</f>
        <v>#REF!</v>
      </c>
      <c r="IN51" t="e">
        <f>AND(#REF!,"AAAAAG68f/c=")</f>
        <v>#REF!</v>
      </c>
      <c r="IO51" t="e">
        <f>AND(#REF!,"AAAAAG68f/g=")</f>
        <v>#REF!</v>
      </c>
      <c r="IP51" t="e">
        <f>AND(#REF!,"AAAAAG68f/k=")</f>
        <v>#REF!</v>
      </c>
      <c r="IQ51" t="e">
        <f>AND(#REF!,"AAAAAG68f/o=")</f>
        <v>#REF!</v>
      </c>
      <c r="IR51" t="e">
        <f>AND(#REF!,"AAAAAG68f/s=")</f>
        <v>#REF!</v>
      </c>
      <c r="IS51" t="e">
        <f>AND(#REF!,"AAAAAG68f/w=")</f>
        <v>#REF!</v>
      </c>
      <c r="IT51" t="e">
        <f>AND(#REF!,"AAAAAG68f/0=")</f>
        <v>#REF!</v>
      </c>
      <c r="IU51" t="e">
        <f>AND(#REF!,"AAAAAG68f/4=")</f>
        <v>#REF!</v>
      </c>
      <c r="IV51" t="e">
        <f>IF(#REF!,"AAAAAG68f/8=",0)</f>
        <v>#REF!</v>
      </c>
    </row>
    <row r="52" spans="1:256" ht="15">
      <c r="A52" t="e">
        <f>AND(#REF!,"AAAAAGt3fwA=")</f>
        <v>#REF!</v>
      </c>
      <c r="B52" t="e">
        <f>AND(#REF!,"AAAAAGt3fwE=")</f>
        <v>#REF!</v>
      </c>
      <c r="C52" t="e">
        <f>AND(#REF!,"AAAAAGt3fwI=")</f>
        <v>#REF!</v>
      </c>
      <c r="D52" t="e">
        <f>AND(#REF!,"AAAAAGt3fwM=")</f>
        <v>#REF!</v>
      </c>
      <c r="E52" t="e">
        <f>AND(#REF!,"AAAAAGt3fwQ=")</f>
        <v>#REF!</v>
      </c>
      <c r="F52" t="e">
        <f>AND(#REF!,"AAAAAGt3fwU=")</f>
        <v>#REF!</v>
      </c>
      <c r="G52" t="e">
        <f>AND(#REF!,"AAAAAGt3fwY=")</f>
        <v>#REF!</v>
      </c>
      <c r="H52" t="e">
        <f>AND(#REF!,"AAAAAGt3fwc=")</f>
        <v>#REF!</v>
      </c>
      <c r="I52" t="e">
        <f>AND(#REF!,"AAAAAGt3fwg=")</f>
        <v>#REF!</v>
      </c>
      <c r="J52" t="e">
        <f>AND(#REF!,"AAAAAGt3fwk=")</f>
        <v>#REF!</v>
      </c>
      <c r="K52" t="e">
        <f>AND(#REF!,"AAAAAGt3fwo=")</f>
        <v>#REF!</v>
      </c>
      <c r="L52" t="e">
        <f>AND(#REF!,"AAAAAGt3fws=")</f>
        <v>#REF!</v>
      </c>
      <c r="M52" t="e">
        <f>AND(#REF!,"AAAAAGt3fww=")</f>
        <v>#REF!</v>
      </c>
      <c r="N52" t="e">
        <f>AND(#REF!,"AAAAAGt3fw0=")</f>
        <v>#REF!</v>
      </c>
      <c r="O52" t="e">
        <f>AND(#REF!,"AAAAAGt3fw4=")</f>
        <v>#REF!</v>
      </c>
      <c r="P52" t="e">
        <f>AND(#REF!,"AAAAAGt3fw8=")</f>
        <v>#REF!</v>
      </c>
      <c r="Q52" t="e">
        <f>AND(#REF!,"AAAAAGt3fxA=")</f>
        <v>#REF!</v>
      </c>
      <c r="R52" t="e">
        <f>AND(#REF!,"AAAAAGt3fxE=")</f>
        <v>#REF!</v>
      </c>
      <c r="S52" t="e">
        <f>AND(#REF!,"AAAAAGt3fxI=")</f>
        <v>#REF!</v>
      </c>
      <c r="T52" t="e">
        <f>AND(#REF!,"AAAAAGt3fxM=")</f>
        <v>#REF!</v>
      </c>
      <c r="U52" t="e">
        <f>AND(#REF!,"AAAAAGt3fxQ=")</f>
        <v>#REF!</v>
      </c>
      <c r="V52" t="e">
        <f>AND(#REF!,"AAAAAGt3fxU=")</f>
        <v>#REF!</v>
      </c>
      <c r="W52" t="e">
        <f>AND(#REF!,"AAAAAGt3fxY=")</f>
        <v>#REF!</v>
      </c>
      <c r="X52" t="e">
        <f>AND(#REF!,"AAAAAGt3fxc=")</f>
        <v>#REF!</v>
      </c>
      <c r="Y52" t="e">
        <f>AND(#REF!,"AAAAAGt3fxg=")</f>
        <v>#REF!</v>
      </c>
      <c r="Z52" t="e">
        <f>AND(#REF!,"AAAAAGt3fxk=")</f>
        <v>#REF!</v>
      </c>
      <c r="AA52" t="e">
        <f>AND(#REF!,"AAAAAGt3fxo=")</f>
        <v>#REF!</v>
      </c>
      <c r="AB52" t="e">
        <f>AND(#REF!,"AAAAAGt3fxs=")</f>
        <v>#REF!</v>
      </c>
      <c r="AC52" t="e">
        <f>AND(#REF!,"AAAAAGt3fxw=")</f>
        <v>#REF!</v>
      </c>
      <c r="AD52" t="e">
        <f>AND(#REF!,"AAAAAGt3fx0=")</f>
        <v>#REF!</v>
      </c>
      <c r="AE52" t="e">
        <f>AND(#REF!,"AAAAAGt3fx4=")</f>
        <v>#REF!</v>
      </c>
      <c r="AF52" t="e">
        <f>AND(#REF!,"AAAAAGt3fx8=")</f>
        <v>#REF!</v>
      </c>
      <c r="AG52" t="e">
        <f>AND(#REF!,"AAAAAGt3fyA=")</f>
        <v>#REF!</v>
      </c>
      <c r="AH52" t="e">
        <f>AND(#REF!,"AAAAAGt3fyE=")</f>
        <v>#REF!</v>
      </c>
      <c r="AI52" t="e">
        <f>AND(#REF!,"AAAAAGt3fyI=")</f>
        <v>#REF!</v>
      </c>
      <c r="AJ52" t="e">
        <f>AND(#REF!,"AAAAAGt3fyM=")</f>
        <v>#REF!</v>
      </c>
      <c r="AK52" t="e">
        <f>AND(#REF!,"AAAAAGt3fyQ=")</f>
        <v>#REF!</v>
      </c>
      <c r="AL52" t="e">
        <f>AND(#REF!,"AAAAAGt3fyU=")</f>
        <v>#REF!</v>
      </c>
      <c r="AM52" t="e">
        <f>AND(#REF!,"AAAAAGt3fyY=")</f>
        <v>#REF!</v>
      </c>
      <c r="AN52" t="e">
        <f>AND(#REF!,"AAAAAGt3fyc=")</f>
        <v>#REF!</v>
      </c>
      <c r="AO52" t="e">
        <f>AND(#REF!,"AAAAAGt3fyg=")</f>
        <v>#REF!</v>
      </c>
      <c r="AP52" t="e">
        <f>AND(#REF!,"AAAAAGt3fyk=")</f>
        <v>#REF!</v>
      </c>
      <c r="AQ52" t="e">
        <f>AND(#REF!,"AAAAAGt3fyo=")</f>
        <v>#REF!</v>
      </c>
      <c r="AR52" t="e">
        <f>AND(#REF!,"AAAAAGt3fys=")</f>
        <v>#REF!</v>
      </c>
      <c r="AS52" t="e">
        <f>AND(#REF!,"AAAAAGt3fyw=")</f>
        <v>#REF!</v>
      </c>
      <c r="AT52" t="e">
        <f>AND(#REF!,"AAAAAGt3fy0=")</f>
        <v>#REF!</v>
      </c>
      <c r="AU52" t="e">
        <f>AND(#REF!,"AAAAAGt3fy4=")</f>
        <v>#REF!</v>
      </c>
      <c r="AV52" t="e">
        <f>AND(#REF!,"AAAAAGt3fy8=")</f>
        <v>#REF!</v>
      </c>
      <c r="AW52" t="e">
        <f>AND(#REF!,"AAAAAGt3fzA=")</f>
        <v>#REF!</v>
      </c>
      <c r="AX52" t="e">
        <f>AND(#REF!,"AAAAAGt3fzE=")</f>
        <v>#REF!</v>
      </c>
      <c r="AY52" t="e">
        <f>AND(#REF!,"AAAAAGt3fzI=")</f>
        <v>#REF!</v>
      </c>
      <c r="AZ52" t="e">
        <f>AND(#REF!,"AAAAAGt3fzM=")</f>
        <v>#REF!</v>
      </c>
      <c r="BA52" t="e">
        <f>AND(#REF!,"AAAAAGt3fzQ=")</f>
        <v>#REF!</v>
      </c>
      <c r="BB52" t="e">
        <f>AND(#REF!,"AAAAAGt3fzU=")</f>
        <v>#REF!</v>
      </c>
      <c r="BC52" t="e">
        <f>AND(#REF!,"AAAAAGt3fzY=")</f>
        <v>#REF!</v>
      </c>
      <c r="BD52" t="e">
        <f>AND(#REF!,"AAAAAGt3fzc=")</f>
        <v>#REF!</v>
      </c>
      <c r="BE52" t="e">
        <f>AND(#REF!,"AAAAAGt3fzg=")</f>
        <v>#REF!</v>
      </c>
      <c r="BF52" t="e">
        <f>AND(#REF!,"AAAAAGt3fzk=")</f>
        <v>#REF!</v>
      </c>
      <c r="BG52" t="e">
        <f>AND(#REF!,"AAAAAGt3fzo=")</f>
        <v>#REF!</v>
      </c>
      <c r="BH52" t="e">
        <f>AND(#REF!,"AAAAAGt3fzs=")</f>
        <v>#REF!</v>
      </c>
      <c r="BI52" t="e">
        <f>AND(#REF!,"AAAAAGt3fzw=")</f>
        <v>#REF!</v>
      </c>
      <c r="BJ52" t="e">
        <f>AND(#REF!,"AAAAAGt3fz0=")</f>
        <v>#REF!</v>
      </c>
      <c r="BK52" t="e">
        <f>AND(#REF!,"AAAAAGt3fz4=")</f>
        <v>#REF!</v>
      </c>
      <c r="BL52" t="e">
        <f>AND(#REF!,"AAAAAGt3fz8=")</f>
        <v>#REF!</v>
      </c>
      <c r="BM52" t="e">
        <f>AND(#REF!,"AAAAAGt3f0A=")</f>
        <v>#REF!</v>
      </c>
      <c r="BN52" t="e">
        <f>AND(#REF!,"AAAAAGt3f0E=")</f>
        <v>#REF!</v>
      </c>
      <c r="BO52" t="e">
        <f>AND(#REF!,"AAAAAGt3f0I=")</f>
        <v>#REF!</v>
      </c>
      <c r="BP52" t="e">
        <f>AND(#REF!,"AAAAAGt3f0M=")</f>
        <v>#REF!</v>
      </c>
      <c r="BQ52" t="e">
        <f>AND(#REF!,"AAAAAGt3f0Q=")</f>
        <v>#REF!</v>
      </c>
      <c r="BR52" t="e">
        <f>AND(#REF!,"AAAAAGt3f0U=")</f>
        <v>#REF!</v>
      </c>
      <c r="BS52" t="e">
        <f>AND(#REF!,"AAAAAGt3f0Y=")</f>
        <v>#REF!</v>
      </c>
      <c r="BT52" t="e">
        <f>AND(#REF!,"AAAAAGt3f0c=")</f>
        <v>#REF!</v>
      </c>
      <c r="BU52" t="e">
        <f>AND(#REF!,"AAAAAGt3f0g=")</f>
        <v>#REF!</v>
      </c>
      <c r="BV52" t="e">
        <f>AND(#REF!,"AAAAAGt3f0k=")</f>
        <v>#REF!</v>
      </c>
      <c r="BW52" t="e">
        <f>AND(#REF!,"AAAAAGt3f0o=")</f>
        <v>#REF!</v>
      </c>
      <c r="BX52" t="e">
        <f>AND(#REF!,"AAAAAGt3f0s=")</f>
        <v>#REF!</v>
      </c>
      <c r="BY52" t="e">
        <f>AND(#REF!,"AAAAAGt3f0w=")</f>
        <v>#REF!</v>
      </c>
      <c r="BZ52" t="e">
        <f>AND(#REF!,"AAAAAGt3f00=")</f>
        <v>#REF!</v>
      </c>
      <c r="CA52" t="e">
        <f>AND(#REF!,"AAAAAGt3f04=")</f>
        <v>#REF!</v>
      </c>
      <c r="CB52" t="e">
        <f>AND(#REF!,"AAAAAGt3f08=")</f>
        <v>#REF!</v>
      </c>
      <c r="CC52" t="e">
        <f>AND(#REF!,"AAAAAGt3f1A=")</f>
        <v>#REF!</v>
      </c>
      <c r="CD52" t="e">
        <f>AND(#REF!,"AAAAAGt3f1E=")</f>
        <v>#REF!</v>
      </c>
      <c r="CE52" t="e">
        <f>AND(#REF!,"AAAAAGt3f1I=")</f>
        <v>#REF!</v>
      </c>
      <c r="CF52" t="e">
        <f>AND(#REF!,"AAAAAGt3f1M=")</f>
        <v>#REF!</v>
      </c>
      <c r="CG52" t="e">
        <f>AND(#REF!,"AAAAAGt3f1Q=")</f>
        <v>#REF!</v>
      </c>
      <c r="CH52" t="e">
        <f>AND(#REF!,"AAAAAGt3f1U=")</f>
        <v>#REF!</v>
      </c>
      <c r="CI52" t="e">
        <f>AND(#REF!,"AAAAAGt3f1Y=")</f>
        <v>#REF!</v>
      </c>
      <c r="CJ52" t="e">
        <f>AND(#REF!,"AAAAAGt3f1c=")</f>
        <v>#REF!</v>
      </c>
      <c r="CK52" t="e">
        <f>AND(#REF!,"AAAAAGt3f1g=")</f>
        <v>#REF!</v>
      </c>
      <c r="CL52" t="e">
        <f>AND(#REF!,"AAAAAGt3f1k=")</f>
        <v>#REF!</v>
      </c>
      <c r="CM52" t="e">
        <f>AND(#REF!,"AAAAAGt3f1o=")</f>
        <v>#REF!</v>
      </c>
      <c r="CN52" t="e">
        <f>AND(#REF!,"AAAAAGt3f1s=")</f>
        <v>#REF!</v>
      </c>
      <c r="CO52" t="e">
        <f>AND(#REF!,"AAAAAGt3f1w=")</f>
        <v>#REF!</v>
      </c>
      <c r="CP52" t="e">
        <f>AND(#REF!,"AAAAAGt3f10=")</f>
        <v>#REF!</v>
      </c>
      <c r="CQ52" t="e">
        <f>AND(#REF!,"AAAAAGt3f14=")</f>
        <v>#REF!</v>
      </c>
      <c r="CR52" t="e">
        <f>AND(#REF!,"AAAAAGt3f18=")</f>
        <v>#REF!</v>
      </c>
      <c r="CS52" t="e">
        <f>AND(#REF!,"AAAAAGt3f2A=")</f>
        <v>#REF!</v>
      </c>
      <c r="CT52" t="e">
        <f>AND(#REF!,"AAAAAGt3f2E=")</f>
        <v>#REF!</v>
      </c>
      <c r="CU52" t="e">
        <f>AND(#REF!,"AAAAAGt3f2I=")</f>
        <v>#REF!</v>
      </c>
      <c r="CV52" t="e">
        <f>AND(#REF!,"AAAAAGt3f2M=")</f>
        <v>#REF!</v>
      </c>
      <c r="CW52" t="e">
        <f>AND(#REF!,"AAAAAGt3f2Q=")</f>
        <v>#REF!</v>
      </c>
      <c r="CX52" t="e">
        <f>AND(#REF!,"AAAAAGt3f2U=")</f>
        <v>#REF!</v>
      </c>
      <c r="CY52" t="e">
        <f>AND(#REF!,"AAAAAGt3f2Y=")</f>
        <v>#REF!</v>
      </c>
      <c r="CZ52" t="e">
        <f>AND(#REF!,"AAAAAGt3f2c=")</f>
        <v>#REF!</v>
      </c>
      <c r="DA52" t="e">
        <f>AND(#REF!,"AAAAAGt3f2g=")</f>
        <v>#REF!</v>
      </c>
      <c r="DB52" t="e">
        <f>AND(#REF!,"AAAAAGt3f2k=")</f>
        <v>#REF!</v>
      </c>
      <c r="DC52" t="e">
        <f>AND(#REF!,"AAAAAGt3f2o=")</f>
        <v>#REF!</v>
      </c>
      <c r="DD52" t="e">
        <f>AND(#REF!,"AAAAAGt3f2s=")</f>
        <v>#REF!</v>
      </c>
      <c r="DE52" t="e">
        <f>AND(#REF!,"AAAAAGt3f2w=")</f>
        <v>#REF!</v>
      </c>
      <c r="DF52" t="e">
        <f>AND(#REF!,"AAAAAGt3f20=")</f>
        <v>#REF!</v>
      </c>
      <c r="DG52" t="e">
        <f>AND(#REF!,"AAAAAGt3f24=")</f>
        <v>#REF!</v>
      </c>
      <c r="DH52" t="e">
        <f>AND(#REF!,"AAAAAGt3f28=")</f>
        <v>#REF!</v>
      </c>
      <c r="DI52" t="e">
        <f>AND(#REF!,"AAAAAGt3f3A=")</f>
        <v>#REF!</v>
      </c>
      <c r="DJ52" t="e">
        <f>AND(#REF!,"AAAAAGt3f3E=")</f>
        <v>#REF!</v>
      </c>
      <c r="DK52" t="e">
        <f>AND(#REF!,"AAAAAGt3f3I=")</f>
        <v>#REF!</v>
      </c>
      <c r="DL52" t="e">
        <f>AND(#REF!,"AAAAAGt3f3M=")</f>
        <v>#REF!</v>
      </c>
      <c r="DM52" t="e">
        <f>AND(#REF!,"AAAAAGt3f3Q=")</f>
        <v>#REF!</v>
      </c>
      <c r="DN52" t="e">
        <f>AND(#REF!,"AAAAAGt3f3U=")</f>
        <v>#REF!</v>
      </c>
      <c r="DO52" t="e">
        <f>AND(#REF!,"AAAAAGt3f3Y=")</f>
        <v>#REF!</v>
      </c>
      <c r="DP52" t="e">
        <f>AND(#REF!,"AAAAAGt3f3c=")</f>
        <v>#REF!</v>
      </c>
      <c r="DQ52" t="e">
        <f>AND(#REF!,"AAAAAGt3f3g=")</f>
        <v>#REF!</v>
      </c>
      <c r="DR52" t="e">
        <f>AND(#REF!,"AAAAAGt3f3k=")</f>
        <v>#REF!</v>
      </c>
      <c r="DS52" t="e">
        <f>AND(#REF!,"AAAAAGt3f3o=")</f>
        <v>#REF!</v>
      </c>
      <c r="DT52" t="e">
        <f>AND(#REF!,"AAAAAGt3f3s=")</f>
        <v>#REF!</v>
      </c>
      <c r="DU52" t="e">
        <f>AND(#REF!,"AAAAAGt3f3w=")</f>
        <v>#REF!</v>
      </c>
      <c r="DV52" t="e">
        <f>AND(#REF!,"AAAAAGt3f30=")</f>
        <v>#REF!</v>
      </c>
      <c r="DW52" t="e">
        <f>AND(#REF!,"AAAAAGt3f34=")</f>
        <v>#REF!</v>
      </c>
      <c r="DX52" t="e">
        <f>AND(#REF!,"AAAAAGt3f38=")</f>
        <v>#REF!</v>
      </c>
      <c r="DY52" t="e">
        <f>AND(#REF!,"AAAAAGt3f4A=")</f>
        <v>#REF!</v>
      </c>
      <c r="DZ52" t="e">
        <f>AND(#REF!,"AAAAAGt3f4E=")</f>
        <v>#REF!</v>
      </c>
      <c r="EA52" t="e">
        <f>AND(#REF!,"AAAAAGt3f4I=")</f>
        <v>#REF!</v>
      </c>
      <c r="EB52" t="e">
        <f>AND(#REF!,"AAAAAGt3f4M=")</f>
        <v>#REF!</v>
      </c>
      <c r="EC52" t="e">
        <f>AND(#REF!,"AAAAAGt3f4Q=")</f>
        <v>#REF!</v>
      </c>
      <c r="ED52" t="e">
        <f>AND(#REF!,"AAAAAGt3f4U=")</f>
        <v>#REF!</v>
      </c>
      <c r="EE52" t="e">
        <f>AND(#REF!,"AAAAAGt3f4Y=")</f>
        <v>#REF!</v>
      </c>
      <c r="EF52" t="e">
        <f>IF(#REF!,"AAAAAGt3f4c=",0)</f>
        <v>#REF!</v>
      </c>
      <c r="EG52" t="e">
        <f>AND(#REF!,"AAAAAGt3f4g=")</f>
        <v>#REF!</v>
      </c>
      <c r="EH52" t="e">
        <f>AND(#REF!,"AAAAAGt3f4k=")</f>
        <v>#REF!</v>
      </c>
      <c r="EI52" t="e">
        <f>AND(#REF!,"AAAAAGt3f4o=")</f>
        <v>#REF!</v>
      </c>
      <c r="EJ52" t="e">
        <f>AND(#REF!,"AAAAAGt3f4s=")</f>
        <v>#REF!</v>
      </c>
      <c r="EK52" t="e">
        <f>AND(#REF!,"AAAAAGt3f4w=")</f>
        <v>#REF!</v>
      </c>
      <c r="EL52" t="e">
        <f>AND(#REF!,"AAAAAGt3f40=")</f>
        <v>#REF!</v>
      </c>
      <c r="EM52" t="e">
        <f>AND(#REF!,"AAAAAGt3f44=")</f>
        <v>#REF!</v>
      </c>
      <c r="EN52" t="e">
        <f>AND(#REF!,"AAAAAGt3f48=")</f>
        <v>#REF!</v>
      </c>
      <c r="EO52" t="e">
        <f>AND(#REF!,"AAAAAGt3f5A=")</f>
        <v>#REF!</v>
      </c>
      <c r="EP52" t="e">
        <f>AND(#REF!,"AAAAAGt3f5E=")</f>
        <v>#REF!</v>
      </c>
      <c r="EQ52" t="e">
        <f>AND(#REF!,"AAAAAGt3f5I=")</f>
        <v>#REF!</v>
      </c>
      <c r="ER52" t="e">
        <f>AND(#REF!,"AAAAAGt3f5M=")</f>
        <v>#REF!</v>
      </c>
      <c r="ES52" t="e">
        <f>AND(#REF!,"AAAAAGt3f5Q=")</f>
        <v>#REF!</v>
      </c>
      <c r="ET52" t="e">
        <f>AND(#REF!,"AAAAAGt3f5U=")</f>
        <v>#REF!</v>
      </c>
      <c r="EU52" t="e">
        <f>AND(#REF!,"AAAAAGt3f5Y=")</f>
        <v>#REF!</v>
      </c>
      <c r="EV52" t="e">
        <f>AND(#REF!,"AAAAAGt3f5c=")</f>
        <v>#REF!</v>
      </c>
      <c r="EW52" t="e">
        <f>AND(#REF!,"AAAAAGt3f5g=")</f>
        <v>#REF!</v>
      </c>
      <c r="EX52" t="e">
        <f>AND(#REF!,"AAAAAGt3f5k=")</f>
        <v>#REF!</v>
      </c>
      <c r="EY52" t="e">
        <f>AND(#REF!,"AAAAAGt3f5o=")</f>
        <v>#REF!</v>
      </c>
      <c r="EZ52" t="e">
        <f>AND(#REF!,"AAAAAGt3f5s=")</f>
        <v>#REF!</v>
      </c>
      <c r="FA52" t="e">
        <f>AND(#REF!,"AAAAAGt3f5w=")</f>
        <v>#REF!</v>
      </c>
      <c r="FB52" t="e">
        <f>AND(#REF!,"AAAAAGt3f50=")</f>
        <v>#REF!</v>
      </c>
      <c r="FC52" t="e">
        <f>AND(#REF!,"AAAAAGt3f54=")</f>
        <v>#REF!</v>
      </c>
      <c r="FD52" t="e">
        <f>AND(#REF!,"AAAAAGt3f58=")</f>
        <v>#REF!</v>
      </c>
      <c r="FE52" t="e">
        <f>AND(#REF!,"AAAAAGt3f6A=")</f>
        <v>#REF!</v>
      </c>
      <c r="FF52" t="e">
        <f>AND(#REF!,"AAAAAGt3f6E=")</f>
        <v>#REF!</v>
      </c>
      <c r="FG52" t="e">
        <f>AND(#REF!,"AAAAAGt3f6I=")</f>
        <v>#REF!</v>
      </c>
      <c r="FH52" t="e">
        <f>AND(#REF!,"AAAAAGt3f6M=")</f>
        <v>#REF!</v>
      </c>
      <c r="FI52" t="e">
        <f>AND(#REF!,"AAAAAGt3f6Q=")</f>
        <v>#REF!</v>
      </c>
      <c r="FJ52" t="e">
        <f>AND(#REF!,"AAAAAGt3f6U=")</f>
        <v>#REF!</v>
      </c>
      <c r="FK52" t="e">
        <f>AND(#REF!,"AAAAAGt3f6Y=")</f>
        <v>#REF!</v>
      </c>
      <c r="FL52" t="e">
        <f>AND(#REF!,"AAAAAGt3f6c=")</f>
        <v>#REF!</v>
      </c>
      <c r="FM52" t="e">
        <f>AND(#REF!,"AAAAAGt3f6g=")</f>
        <v>#REF!</v>
      </c>
      <c r="FN52" t="e">
        <f>AND(#REF!,"AAAAAGt3f6k=")</f>
        <v>#REF!</v>
      </c>
      <c r="FO52" t="e">
        <f>AND(#REF!,"AAAAAGt3f6o=")</f>
        <v>#REF!</v>
      </c>
      <c r="FP52" t="e">
        <f>AND(#REF!,"AAAAAGt3f6s=")</f>
        <v>#REF!</v>
      </c>
      <c r="FQ52" t="e">
        <f>AND(#REF!,"AAAAAGt3f6w=")</f>
        <v>#REF!</v>
      </c>
      <c r="FR52" t="e">
        <f>AND(#REF!,"AAAAAGt3f60=")</f>
        <v>#REF!</v>
      </c>
      <c r="FS52" t="e">
        <f>AND(#REF!,"AAAAAGt3f64=")</f>
        <v>#REF!</v>
      </c>
      <c r="FT52" t="e">
        <f>AND(#REF!,"AAAAAGt3f68=")</f>
        <v>#REF!</v>
      </c>
      <c r="FU52" t="e">
        <f>AND(#REF!,"AAAAAGt3f7A=")</f>
        <v>#REF!</v>
      </c>
      <c r="FV52" t="e">
        <f>AND(#REF!,"AAAAAGt3f7E=")</f>
        <v>#REF!</v>
      </c>
      <c r="FW52" t="e">
        <f>AND(#REF!,"AAAAAGt3f7I=")</f>
        <v>#REF!</v>
      </c>
      <c r="FX52" t="e">
        <f>AND(#REF!,"AAAAAGt3f7M=")</f>
        <v>#REF!</v>
      </c>
      <c r="FY52" t="e">
        <f>AND(#REF!,"AAAAAGt3f7Q=")</f>
        <v>#REF!</v>
      </c>
      <c r="FZ52" t="e">
        <f>AND(#REF!,"AAAAAGt3f7U=")</f>
        <v>#REF!</v>
      </c>
      <c r="GA52" t="e">
        <f>AND(#REF!,"AAAAAGt3f7Y=")</f>
        <v>#REF!</v>
      </c>
      <c r="GB52" t="e">
        <f>AND(#REF!,"AAAAAGt3f7c=")</f>
        <v>#REF!</v>
      </c>
      <c r="GC52" t="e">
        <f>AND(#REF!,"AAAAAGt3f7g=")</f>
        <v>#REF!</v>
      </c>
      <c r="GD52" t="e">
        <f>AND(#REF!,"AAAAAGt3f7k=")</f>
        <v>#REF!</v>
      </c>
      <c r="GE52" t="e">
        <f>AND(#REF!,"AAAAAGt3f7o=")</f>
        <v>#REF!</v>
      </c>
      <c r="GF52" t="e">
        <f>AND(#REF!,"AAAAAGt3f7s=")</f>
        <v>#REF!</v>
      </c>
      <c r="GG52" t="e">
        <f>AND(#REF!,"AAAAAGt3f7w=")</f>
        <v>#REF!</v>
      </c>
      <c r="GH52" t="e">
        <f>AND(#REF!,"AAAAAGt3f70=")</f>
        <v>#REF!</v>
      </c>
      <c r="GI52" t="e">
        <f>AND(#REF!,"AAAAAGt3f74=")</f>
        <v>#REF!</v>
      </c>
      <c r="GJ52" t="e">
        <f>AND(#REF!,"AAAAAGt3f78=")</f>
        <v>#REF!</v>
      </c>
      <c r="GK52" t="e">
        <f>AND(#REF!,"AAAAAGt3f8A=")</f>
        <v>#REF!</v>
      </c>
      <c r="GL52" t="e">
        <f>AND(#REF!,"AAAAAGt3f8E=")</f>
        <v>#REF!</v>
      </c>
      <c r="GM52" t="e">
        <f>AND(#REF!,"AAAAAGt3f8I=")</f>
        <v>#REF!</v>
      </c>
      <c r="GN52" t="e">
        <f>AND(#REF!,"AAAAAGt3f8M=")</f>
        <v>#REF!</v>
      </c>
      <c r="GO52" t="e">
        <f>AND(#REF!,"AAAAAGt3f8Q=")</f>
        <v>#REF!</v>
      </c>
      <c r="GP52" t="e">
        <f>AND(#REF!,"AAAAAGt3f8U=")</f>
        <v>#REF!</v>
      </c>
      <c r="GQ52" t="e">
        <f>AND(#REF!,"AAAAAGt3f8Y=")</f>
        <v>#REF!</v>
      </c>
      <c r="GR52" t="e">
        <f>AND(#REF!,"AAAAAGt3f8c=")</f>
        <v>#REF!</v>
      </c>
      <c r="GS52" t="e">
        <f>AND(#REF!,"AAAAAGt3f8g=")</f>
        <v>#REF!</v>
      </c>
      <c r="GT52" t="e">
        <f>AND(#REF!,"AAAAAGt3f8k=")</f>
        <v>#REF!</v>
      </c>
      <c r="GU52" t="e">
        <f>AND(#REF!,"AAAAAGt3f8o=")</f>
        <v>#REF!</v>
      </c>
      <c r="GV52" t="e">
        <f>AND(#REF!,"AAAAAGt3f8s=")</f>
        <v>#REF!</v>
      </c>
      <c r="GW52" t="e">
        <f>AND(#REF!,"AAAAAGt3f8w=")</f>
        <v>#REF!</v>
      </c>
      <c r="GX52" t="e">
        <f>AND(#REF!,"AAAAAGt3f80=")</f>
        <v>#REF!</v>
      </c>
      <c r="GY52" t="e">
        <f>AND(#REF!,"AAAAAGt3f84=")</f>
        <v>#REF!</v>
      </c>
      <c r="GZ52" t="e">
        <f>AND(#REF!,"AAAAAGt3f88=")</f>
        <v>#REF!</v>
      </c>
      <c r="HA52" t="e">
        <f>AND(#REF!,"AAAAAGt3f9A=")</f>
        <v>#REF!</v>
      </c>
      <c r="HB52" t="e">
        <f>AND(#REF!,"AAAAAGt3f9E=")</f>
        <v>#REF!</v>
      </c>
      <c r="HC52" t="e">
        <f>AND(#REF!,"AAAAAGt3f9I=")</f>
        <v>#REF!</v>
      </c>
      <c r="HD52" t="e">
        <f>AND(#REF!,"AAAAAGt3f9M=")</f>
        <v>#REF!</v>
      </c>
      <c r="HE52" t="e">
        <f>AND(#REF!,"AAAAAGt3f9Q=")</f>
        <v>#REF!</v>
      </c>
      <c r="HF52" t="e">
        <f>AND(#REF!,"AAAAAGt3f9U=")</f>
        <v>#REF!</v>
      </c>
      <c r="HG52" t="e">
        <f>AND(#REF!,"AAAAAGt3f9Y=")</f>
        <v>#REF!</v>
      </c>
      <c r="HH52" t="e">
        <f>AND(#REF!,"AAAAAGt3f9c=")</f>
        <v>#REF!</v>
      </c>
      <c r="HI52" t="e">
        <f>AND(#REF!,"AAAAAGt3f9g=")</f>
        <v>#REF!</v>
      </c>
      <c r="HJ52" t="e">
        <f>AND(#REF!,"AAAAAGt3f9k=")</f>
        <v>#REF!</v>
      </c>
      <c r="HK52" t="e">
        <f>AND(#REF!,"AAAAAGt3f9o=")</f>
        <v>#REF!</v>
      </c>
      <c r="HL52" t="e">
        <f>AND(#REF!,"AAAAAGt3f9s=")</f>
        <v>#REF!</v>
      </c>
      <c r="HM52" t="e">
        <f>AND(#REF!,"AAAAAGt3f9w=")</f>
        <v>#REF!</v>
      </c>
      <c r="HN52" t="e">
        <f>AND(#REF!,"AAAAAGt3f90=")</f>
        <v>#REF!</v>
      </c>
      <c r="HO52" t="e">
        <f>AND(#REF!,"AAAAAGt3f94=")</f>
        <v>#REF!</v>
      </c>
      <c r="HP52" t="e">
        <f>AND(#REF!,"AAAAAGt3f98=")</f>
        <v>#REF!</v>
      </c>
      <c r="HQ52" t="e">
        <f>AND(#REF!,"AAAAAGt3f+A=")</f>
        <v>#REF!</v>
      </c>
      <c r="HR52" t="e">
        <f>AND(#REF!,"AAAAAGt3f+E=")</f>
        <v>#REF!</v>
      </c>
      <c r="HS52" t="e">
        <f>AND(#REF!,"AAAAAGt3f+I=")</f>
        <v>#REF!</v>
      </c>
      <c r="HT52" t="e">
        <f>AND(#REF!,"AAAAAGt3f+M=")</f>
        <v>#REF!</v>
      </c>
      <c r="HU52" t="e">
        <f>AND(#REF!,"AAAAAGt3f+Q=")</f>
        <v>#REF!</v>
      </c>
      <c r="HV52" t="e">
        <f>AND(#REF!,"AAAAAGt3f+U=")</f>
        <v>#REF!</v>
      </c>
      <c r="HW52" t="e">
        <f>AND(#REF!,"AAAAAGt3f+Y=")</f>
        <v>#REF!</v>
      </c>
      <c r="HX52" t="e">
        <f>AND(#REF!,"AAAAAGt3f+c=")</f>
        <v>#REF!</v>
      </c>
      <c r="HY52" t="e">
        <f>AND(#REF!,"AAAAAGt3f+g=")</f>
        <v>#REF!</v>
      </c>
      <c r="HZ52" t="e">
        <f>AND(#REF!,"AAAAAGt3f+k=")</f>
        <v>#REF!</v>
      </c>
      <c r="IA52" t="e">
        <f>AND(#REF!,"AAAAAGt3f+o=")</f>
        <v>#REF!</v>
      </c>
      <c r="IB52" t="e">
        <f>AND(#REF!,"AAAAAGt3f+s=")</f>
        <v>#REF!</v>
      </c>
      <c r="IC52" t="e">
        <f>AND(#REF!,"AAAAAGt3f+w=")</f>
        <v>#REF!</v>
      </c>
      <c r="ID52" t="e">
        <f>AND(#REF!,"AAAAAGt3f+0=")</f>
        <v>#REF!</v>
      </c>
      <c r="IE52" t="e">
        <f>AND(#REF!,"AAAAAGt3f+4=")</f>
        <v>#REF!</v>
      </c>
      <c r="IF52" t="e">
        <f>AND(#REF!,"AAAAAGt3f+8=")</f>
        <v>#REF!</v>
      </c>
      <c r="IG52" t="e">
        <f>AND(#REF!,"AAAAAGt3f/A=")</f>
        <v>#REF!</v>
      </c>
      <c r="IH52" t="e">
        <f>AND(#REF!,"AAAAAGt3f/E=")</f>
        <v>#REF!</v>
      </c>
      <c r="II52" t="e">
        <f>AND(#REF!,"AAAAAGt3f/I=")</f>
        <v>#REF!</v>
      </c>
      <c r="IJ52" t="e">
        <f>AND(#REF!,"AAAAAGt3f/M=")</f>
        <v>#REF!</v>
      </c>
      <c r="IK52" t="e">
        <f>AND(#REF!,"AAAAAGt3f/Q=")</f>
        <v>#REF!</v>
      </c>
      <c r="IL52" t="e">
        <f>AND(#REF!,"AAAAAGt3f/U=")</f>
        <v>#REF!</v>
      </c>
      <c r="IM52" t="e">
        <f>AND(#REF!,"AAAAAGt3f/Y=")</f>
        <v>#REF!</v>
      </c>
      <c r="IN52" t="e">
        <f>AND(#REF!,"AAAAAGt3f/c=")</f>
        <v>#REF!</v>
      </c>
      <c r="IO52" t="e">
        <f>AND(#REF!,"AAAAAGt3f/g=")</f>
        <v>#REF!</v>
      </c>
      <c r="IP52" t="e">
        <f>AND(#REF!,"AAAAAGt3f/k=")</f>
        <v>#REF!</v>
      </c>
      <c r="IQ52" t="e">
        <f>AND(#REF!,"AAAAAGt3f/o=")</f>
        <v>#REF!</v>
      </c>
      <c r="IR52" t="e">
        <f>AND(#REF!,"AAAAAGt3f/s=")</f>
        <v>#REF!</v>
      </c>
      <c r="IS52" t="e">
        <f>AND(#REF!,"AAAAAGt3f/w=")</f>
        <v>#REF!</v>
      </c>
      <c r="IT52" t="e">
        <f>AND(#REF!,"AAAAAGt3f/0=")</f>
        <v>#REF!</v>
      </c>
      <c r="IU52" t="e">
        <f>AND(#REF!,"AAAAAGt3f/4=")</f>
        <v>#REF!</v>
      </c>
      <c r="IV52" t="e">
        <f>AND(#REF!,"AAAAAGt3f/8=")</f>
        <v>#REF!</v>
      </c>
    </row>
    <row r="53" spans="1:256" ht="15">
      <c r="A53" t="e">
        <f>AND(#REF!,"AAAAAHe77AA=")</f>
        <v>#REF!</v>
      </c>
      <c r="B53" t="e">
        <f>AND(#REF!,"AAAAAHe77AE=")</f>
        <v>#REF!</v>
      </c>
      <c r="C53" t="e">
        <f>AND(#REF!,"AAAAAHe77AI=")</f>
        <v>#REF!</v>
      </c>
      <c r="D53" t="e">
        <f>AND(#REF!,"AAAAAHe77AM=")</f>
        <v>#REF!</v>
      </c>
      <c r="E53" t="e">
        <f>AND(#REF!,"AAAAAHe77AQ=")</f>
        <v>#REF!</v>
      </c>
      <c r="F53" t="e">
        <f>AND(#REF!,"AAAAAHe77AU=")</f>
        <v>#REF!</v>
      </c>
      <c r="G53" t="e">
        <f>AND(#REF!,"AAAAAHe77AY=")</f>
        <v>#REF!</v>
      </c>
      <c r="H53" t="e">
        <f>AND(#REF!,"AAAAAHe77Ac=")</f>
        <v>#REF!</v>
      </c>
      <c r="I53" t="e">
        <f>AND(#REF!,"AAAAAHe77Ag=")</f>
        <v>#REF!</v>
      </c>
      <c r="J53" t="e">
        <f>AND(#REF!,"AAAAAHe77Ak=")</f>
        <v>#REF!</v>
      </c>
      <c r="K53" t="e">
        <f>AND(#REF!,"AAAAAHe77Ao=")</f>
        <v>#REF!</v>
      </c>
      <c r="L53" t="e">
        <f>AND(#REF!,"AAAAAHe77As=")</f>
        <v>#REF!</v>
      </c>
      <c r="M53" t="e">
        <f>AND(#REF!,"AAAAAHe77Aw=")</f>
        <v>#REF!</v>
      </c>
      <c r="N53" t="e">
        <f>AND(#REF!,"AAAAAHe77A0=")</f>
        <v>#REF!</v>
      </c>
      <c r="O53" t="e">
        <f>AND(#REF!,"AAAAAHe77A4=")</f>
        <v>#REF!</v>
      </c>
      <c r="P53" t="e">
        <f>IF(#REF!,"AAAAAHe77A8=",0)</f>
        <v>#REF!</v>
      </c>
      <c r="Q53" t="e">
        <f>AND(#REF!,"AAAAAHe77BA=")</f>
        <v>#REF!</v>
      </c>
      <c r="R53" t="e">
        <f>AND(#REF!,"AAAAAHe77BE=")</f>
        <v>#REF!</v>
      </c>
      <c r="S53" t="e">
        <f>AND(#REF!,"AAAAAHe77BI=")</f>
        <v>#REF!</v>
      </c>
      <c r="T53" t="e">
        <f>AND(#REF!,"AAAAAHe77BM=")</f>
        <v>#REF!</v>
      </c>
      <c r="U53" t="e">
        <f>AND(#REF!,"AAAAAHe77BQ=")</f>
        <v>#REF!</v>
      </c>
      <c r="V53" t="e">
        <f>AND(#REF!,"AAAAAHe77BU=")</f>
        <v>#REF!</v>
      </c>
      <c r="W53" t="e">
        <f>AND(#REF!,"AAAAAHe77BY=")</f>
        <v>#REF!</v>
      </c>
      <c r="X53" t="e">
        <f>AND(#REF!,"AAAAAHe77Bc=")</f>
        <v>#REF!</v>
      </c>
      <c r="Y53" t="e">
        <f>AND(#REF!,"AAAAAHe77Bg=")</f>
        <v>#REF!</v>
      </c>
      <c r="Z53" t="e">
        <f>AND(#REF!,"AAAAAHe77Bk=")</f>
        <v>#REF!</v>
      </c>
      <c r="AA53" t="e">
        <f>AND(#REF!,"AAAAAHe77Bo=")</f>
        <v>#REF!</v>
      </c>
      <c r="AB53" t="e">
        <f>AND(#REF!,"AAAAAHe77Bs=")</f>
        <v>#REF!</v>
      </c>
      <c r="AC53" t="e">
        <f>AND(#REF!,"AAAAAHe77Bw=")</f>
        <v>#REF!</v>
      </c>
      <c r="AD53" t="e">
        <f>AND(#REF!,"AAAAAHe77B0=")</f>
        <v>#REF!</v>
      </c>
      <c r="AE53" t="e">
        <f>AND(#REF!,"AAAAAHe77B4=")</f>
        <v>#REF!</v>
      </c>
      <c r="AF53" t="e">
        <f>AND(#REF!,"AAAAAHe77B8=")</f>
        <v>#REF!</v>
      </c>
      <c r="AG53" t="e">
        <f>AND(#REF!,"AAAAAHe77CA=")</f>
        <v>#REF!</v>
      </c>
      <c r="AH53" t="e">
        <f>AND(#REF!,"AAAAAHe77CE=")</f>
        <v>#REF!</v>
      </c>
      <c r="AI53" t="e">
        <f>AND(#REF!,"AAAAAHe77CI=")</f>
        <v>#REF!</v>
      </c>
      <c r="AJ53" t="e">
        <f>AND(#REF!,"AAAAAHe77CM=")</f>
        <v>#REF!</v>
      </c>
      <c r="AK53" t="e">
        <f>AND(#REF!,"AAAAAHe77CQ=")</f>
        <v>#REF!</v>
      </c>
      <c r="AL53" t="e">
        <f>AND(#REF!,"AAAAAHe77CU=")</f>
        <v>#REF!</v>
      </c>
      <c r="AM53" t="e">
        <f>AND(#REF!,"AAAAAHe77CY=")</f>
        <v>#REF!</v>
      </c>
      <c r="AN53" t="e">
        <f>AND(#REF!,"AAAAAHe77Cc=")</f>
        <v>#REF!</v>
      </c>
      <c r="AO53" t="e">
        <f>AND(#REF!,"AAAAAHe77Cg=")</f>
        <v>#REF!</v>
      </c>
      <c r="AP53" t="e">
        <f>AND(#REF!,"AAAAAHe77Ck=")</f>
        <v>#REF!</v>
      </c>
      <c r="AQ53" t="e">
        <f>AND(#REF!,"AAAAAHe77Co=")</f>
        <v>#REF!</v>
      </c>
      <c r="AR53" t="e">
        <f>AND(#REF!,"AAAAAHe77Cs=")</f>
        <v>#REF!</v>
      </c>
      <c r="AS53" t="e">
        <f>AND(#REF!,"AAAAAHe77Cw=")</f>
        <v>#REF!</v>
      </c>
      <c r="AT53" t="e">
        <f>AND(#REF!,"AAAAAHe77C0=")</f>
        <v>#REF!</v>
      </c>
      <c r="AU53" t="e">
        <f>AND(#REF!,"AAAAAHe77C4=")</f>
        <v>#REF!</v>
      </c>
      <c r="AV53" t="e">
        <f>AND(#REF!,"AAAAAHe77C8=")</f>
        <v>#REF!</v>
      </c>
      <c r="AW53" t="e">
        <f>AND(#REF!,"AAAAAHe77DA=")</f>
        <v>#REF!</v>
      </c>
      <c r="AX53" t="e">
        <f>AND(#REF!,"AAAAAHe77DE=")</f>
        <v>#REF!</v>
      </c>
      <c r="AY53" t="e">
        <f>AND(#REF!,"AAAAAHe77DI=")</f>
        <v>#REF!</v>
      </c>
      <c r="AZ53" t="e">
        <f>AND(#REF!,"AAAAAHe77DM=")</f>
        <v>#REF!</v>
      </c>
      <c r="BA53" t="e">
        <f>AND(#REF!,"AAAAAHe77DQ=")</f>
        <v>#REF!</v>
      </c>
      <c r="BB53" t="e">
        <f>AND(#REF!,"AAAAAHe77DU=")</f>
        <v>#REF!</v>
      </c>
      <c r="BC53" t="e">
        <f>AND(#REF!,"AAAAAHe77DY=")</f>
        <v>#REF!</v>
      </c>
      <c r="BD53" t="e">
        <f>AND(#REF!,"AAAAAHe77Dc=")</f>
        <v>#REF!</v>
      </c>
      <c r="BE53" t="e">
        <f>AND(#REF!,"AAAAAHe77Dg=")</f>
        <v>#REF!</v>
      </c>
      <c r="BF53" t="e">
        <f>AND(#REF!,"AAAAAHe77Dk=")</f>
        <v>#REF!</v>
      </c>
      <c r="BG53" t="e">
        <f>AND(#REF!,"AAAAAHe77Do=")</f>
        <v>#REF!</v>
      </c>
      <c r="BH53" t="e">
        <f>AND(#REF!,"AAAAAHe77Ds=")</f>
        <v>#REF!</v>
      </c>
      <c r="BI53" t="e">
        <f>AND(#REF!,"AAAAAHe77Dw=")</f>
        <v>#REF!</v>
      </c>
      <c r="BJ53" t="e">
        <f>AND(#REF!,"AAAAAHe77D0=")</f>
        <v>#REF!</v>
      </c>
      <c r="BK53" t="e">
        <f>AND(#REF!,"AAAAAHe77D4=")</f>
        <v>#REF!</v>
      </c>
      <c r="BL53" t="e">
        <f>AND(#REF!,"AAAAAHe77D8=")</f>
        <v>#REF!</v>
      </c>
      <c r="BM53" t="e">
        <f>AND(#REF!,"AAAAAHe77EA=")</f>
        <v>#REF!</v>
      </c>
      <c r="BN53" t="e">
        <f>AND(#REF!,"AAAAAHe77EE=")</f>
        <v>#REF!</v>
      </c>
      <c r="BO53" t="e">
        <f>AND(#REF!,"AAAAAHe77EI=")</f>
        <v>#REF!</v>
      </c>
      <c r="BP53" t="e">
        <f>AND(#REF!,"AAAAAHe77EM=")</f>
        <v>#REF!</v>
      </c>
      <c r="BQ53" t="e">
        <f>AND(#REF!,"AAAAAHe77EQ=")</f>
        <v>#REF!</v>
      </c>
      <c r="BR53" t="e">
        <f>AND(#REF!,"AAAAAHe77EU=")</f>
        <v>#REF!</v>
      </c>
      <c r="BS53" t="e">
        <f>AND(#REF!,"AAAAAHe77EY=")</f>
        <v>#REF!</v>
      </c>
      <c r="BT53" t="e">
        <f>AND(#REF!,"AAAAAHe77Ec=")</f>
        <v>#REF!</v>
      </c>
      <c r="BU53" t="e">
        <f>AND(#REF!,"AAAAAHe77Eg=")</f>
        <v>#REF!</v>
      </c>
      <c r="BV53" t="e">
        <f>AND(#REF!,"AAAAAHe77Ek=")</f>
        <v>#REF!</v>
      </c>
      <c r="BW53" t="e">
        <f>AND(#REF!,"AAAAAHe77Eo=")</f>
        <v>#REF!</v>
      </c>
      <c r="BX53" t="e">
        <f>AND(#REF!,"AAAAAHe77Es=")</f>
        <v>#REF!</v>
      </c>
      <c r="BY53" t="e">
        <f>AND(#REF!,"AAAAAHe77Ew=")</f>
        <v>#REF!</v>
      </c>
      <c r="BZ53" t="e">
        <f>AND(#REF!,"AAAAAHe77E0=")</f>
        <v>#REF!</v>
      </c>
      <c r="CA53" t="e">
        <f>AND(#REF!,"AAAAAHe77E4=")</f>
        <v>#REF!</v>
      </c>
      <c r="CB53" t="e">
        <f>AND(#REF!,"AAAAAHe77E8=")</f>
        <v>#REF!</v>
      </c>
      <c r="CC53" t="e">
        <f>AND(#REF!,"AAAAAHe77FA=")</f>
        <v>#REF!</v>
      </c>
      <c r="CD53" t="e">
        <f>AND(#REF!,"AAAAAHe77FE=")</f>
        <v>#REF!</v>
      </c>
      <c r="CE53" t="e">
        <f>AND(#REF!,"AAAAAHe77FI=")</f>
        <v>#REF!</v>
      </c>
      <c r="CF53" t="e">
        <f>AND(#REF!,"AAAAAHe77FM=")</f>
        <v>#REF!</v>
      </c>
      <c r="CG53" t="e">
        <f>AND(#REF!,"AAAAAHe77FQ=")</f>
        <v>#REF!</v>
      </c>
      <c r="CH53" t="e">
        <f>AND(#REF!,"AAAAAHe77FU=")</f>
        <v>#REF!</v>
      </c>
      <c r="CI53" t="e">
        <f>AND(#REF!,"AAAAAHe77FY=")</f>
        <v>#REF!</v>
      </c>
      <c r="CJ53" t="e">
        <f>AND(#REF!,"AAAAAHe77Fc=")</f>
        <v>#REF!</v>
      </c>
      <c r="CK53" t="e">
        <f>AND(#REF!,"AAAAAHe77Fg=")</f>
        <v>#REF!</v>
      </c>
      <c r="CL53" t="e">
        <f>AND(#REF!,"AAAAAHe77Fk=")</f>
        <v>#REF!</v>
      </c>
      <c r="CM53" t="e">
        <f>AND(#REF!,"AAAAAHe77Fo=")</f>
        <v>#REF!</v>
      </c>
      <c r="CN53" t="e">
        <f>AND(#REF!,"AAAAAHe77Fs=")</f>
        <v>#REF!</v>
      </c>
      <c r="CO53" t="e">
        <f>AND(#REF!,"AAAAAHe77Fw=")</f>
        <v>#REF!</v>
      </c>
      <c r="CP53" t="e">
        <f>AND(#REF!,"AAAAAHe77F0=")</f>
        <v>#REF!</v>
      </c>
      <c r="CQ53" t="e">
        <f>AND(#REF!,"AAAAAHe77F4=")</f>
        <v>#REF!</v>
      </c>
      <c r="CR53" t="e">
        <f>AND(#REF!,"AAAAAHe77F8=")</f>
        <v>#REF!</v>
      </c>
      <c r="CS53" t="e">
        <f>AND(#REF!,"AAAAAHe77GA=")</f>
        <v>#REF!</v>
      </c>
      <c r="CT53" t="e">
        <f>AND(#REF!,"AAAAAHe77GE=")</f>
        <v>#REF!</v>
      </c>
      <c r="CU53" t="e">
        <f>AND(#REF!,"AAAAAHe77GI=")</f>
        <v>#REF!</v>
      </c>
      <c r="CV53" t="e">
        <f>AND(#REF!,"AAAAAHe77GM=")</f>
        <v>#REF!</v>
      </c>
      <c r="CW53" t="e">
        <f>AND(#REF!,"AAAAAHe77GQ=")</f>
        <v>#REF!</v>
      </c>
      <c r="CX53" t="e">
        <f>AND(#REF!,"AAAAAHe77GU=")</f>
        <v>#REF!</v>
      </c>
      <c r="CY53" t="e">
        <f>AND(#REF!,"AAAAAHe77GY=")</f>
        <v>#REF!</v>
      </c>
      <c r="CZ53" t="e">
        <f>AND(#REF!,"AAAAAHe77Gc=")</f>
        <v>#REF!</v>
      </c>
      <c r="DA53" t="e">
        <f>AND(#REF!,"AAAAAHe77Gg=")</f>
        <v>#REF!</v>
      </c>
      <c r="DB53" t="e">
        <f>AND(#REF!,"AAAAAHe77Gk=")</f>
        <v>#REF!</v>
      </c>
      <c r="DC53" t="e">
        <f>AND(#REF!,"AAAAAHe77Go=")</f>
        <v>#REF!</v>
      </c>
      <c r="DD53" t="e">
        <f>AND(#REF!,"AAAAAHe77Gs=")</f>
        <v>#REF!</v>
      </c>
      <c r="DE53" t="e">
        <f>AND(#REF!,"AAAAAHe77Gw=")</f>
        <v>#REF!</v>
      </c>
      <c r="DF53" t="e">
        <f>AND(#REF!,"AAAAAHe77G0=")</f>
        <v>#REF!</v>
      </c>
      <c r="DG53" t="e">
        <f>AND(#REF!,"AAAAAHe77G4=")</f>
        <v>#REF!</v>
      </c>
      <c r="DH53" t="e">
        <f>AND(#REF!,"AAAAAHe77G8=")</f>
        <v>#REF!</v>
      </c>
      <c r="DI53" t="e">
        <f>AND(#REF!,"AAAAAHe77HA=")</f>
        <v>#REF!</v>
      </c>
      <c r="DJ53" t="e">
        <f>AND(#REF!,"AAAAAHe77HE=")</f>
        <v>#REF!</v>
      </c>
      <c r="DK53" t="e">
        <f>AND(#REF!,"AAAAAHe77HI=")</f>
        <v>#REF!</v>
      </c>
      <c r="DL53" t="e">
        <f>AND(#REF!,"AAAAAHe77HM=")</f>
        <v>#REF!</v>
      </c>
      <c r="DM53" t="e">
        <f>AND(#REF!,"AAAAAHe77HQ=")</f>
        <v>#REF!</v>
      </c>
      <c r="DN53" t="e">
        <f>AND(#REF!,"AAAAAHe77HU=")</f>
        <v>#REF!</v>
      </c>
      <c r="DO53" t="e">
        <f>AND(#REF!,"AAAAAHe77HY=")</f>
        <v>#REF!</v>
      </c>
      <c r="DP53" t="e">
        <f>AND(#REF!,"AAAAAHe77Hc=")</f>
        <v>#REF!</v>
      </c>
      <c r="DQ53" t="e">
        <f>AND(#REF!,"AAAAAHe77Hg=")</f>
        <v>#REF!</v>
      </c>
      <c r="DR53" t="e">
        <f>AND(#REF!,"AAAAAHe77Hk=")</f>
        <v>#REF!</v>
      </c>
      <c r="DS53" t="e">
        <f>AND(#REF!,"AAAAAHe77Ho=")</f>
        <v>#REF!</v>
      </c>
      <c r="DT53" t="e">
        <f>AND(#REF!,"AAAAAHe77Hs=")</f>
        <v>#REF!</v>
      </c>
      <c r="DU53" t="e">
        <f>AND(#REF!,"AAAAAHe77Hw=")</f>
        <v>#REF!</v>
      </c>
      <c r="DV53" t="e">
        <f>AND(#REF!,"AAAAAHe77H0=")</f>
        <v>#REF!</v>
      </c>
      <c r="DW53" t="e">
        <f>AND(#REF!,"AAAAAHe77H4=")</f>
        <v>#REF!</v>
      </c>
      <c r="DX53" t="e">
        <f>AND(#REF!,"AAAAAHe77H8=")</f>
        <v>#REF!</v>
      </c>
      <c r="DY53" t="e">
        <f>AND(#REF!,"AAAAAHe77IA=")</f>
        <v>#REF!</v>
      </c>
      <c r="DZ53" t="e">
        <f>AND(#REF!,"AAAAAHe77IE=")</f>
        <v>#REF!</v>
      </c>
      <c r="EA53" t="e">
        <f>AND(#REF!,"AAAAAHe77II=")</f>
        <v>#REF!</v>
      </c>
      <c r="EB53" t="e">
        <f>AND(#REF!,"AAAAAHe77IM=")</f>
        <v>#REF!</v>
      </c>
      <c r="EC53" t="e">
        <f>AND(#REF!,"AAAAAHe77IQ=")</f>
        <v>#REF!</v>
      </c>
      <c r="ED53" t="e">
        <f>AND(#REF!,"AAAAAHe77IU=")</f>
        <v>#REF!</v>
      </c>
      <c r="EE53" t="e">
        <f>AND(#REF!,"AAAAAHe77IY=")</f>
        <v>#REF!</v>
      </c>
      <c r="EF53" t="e">
        <f>AND(#REF!,"AAAAAHe77Ic=")</f>
        <v>#REF!</v>
      </c>
      <c r="EG53" t="e">
        <f>AND(#REF!,"AAAAAHe77Ig=")</f>
        <v>#REF!</v>
      </c>
      <c r="EH53" t="e">
        <f>AND(#REF!,"AAAAAHe77Ik=")</f>
        <v>#REF!</v>
      </c>
      <c r="EI53" t="e">
        <f>AND(#REF!,"AAAAAHe77Io=")</f>
        <v>#REF!</v>
      </c>
      <c r="EJ53" t="e">
        <f>AND(#REF!,"AAAAAHe77Is=")</f>
        <v>#REF!</v>
      </c>
      <c r="EK53" t="e">
        <f>AND(#REF!,"AAAAAHe77Iw=")</f>
        <v>#REF!</v>
      </c>
      <c r="EL53" t="e">
        <f>AND(#REF!,"AAAAAHe77I0=")</f>
        <v>#REF!</v>
      </c>
      <c r="EM53" t="e">
        <f>AND(#REF!,"AAAAAHe77I4=")</f>
        <v>#REF!</v>
      </c>
      <c r="EN53" t="e">
        <f>AND(#REF!,"AAAAAHe77I8=")</f>
        <v>#REF!</v>
      </c>
      <c r="EO53" t="e">
        <f>AND(#REF!,"AAAAAHe77JA=")</f>
        <v>#REF!</v>
      </c>
      <c r="EP53" t="e">
        <f>AND(#REF!,"AAAAAHe77JE=")</f>
        <v>#REF!</v>
      </c>
      <c r="EQ53" t="e">
        <f>AND(#REF!,"AAAAAHe77JI=")</f>
        <v>#REF!</v>
      </c>
      <c r="ER53" t="e">
        <f>AND(#REF!,"AAAAAHe77JM=")</f>
        <v>#REF!</v>
      </c>
      <c r="ES53" t="e">
        <f>AND(#REF!,"AAAAAHe77JQ=")</f>
        <v>#REF!</v>
      </c>
      <c r="ET53" t="e">
        <f>AND(#REF!,"AAAAAHe77JU=")</f>
        <v>#REF!</v>
      </c>
      <c r="EU53" t="e">
        <f>AND(#REF!,"AAAAAHe77JY=")</f>
        <v>#REF!</v>
      </c>
      <c r="EV53" t="e">
        <f>IF(#REF!,"AAAAAHe77Jc=",0)</f>
        <v>#REF!</v>
      </c>
      <c r="EW53" t="e">
        <f>AND(#REF!,"AAAAAHe77Jg=")</f>
        <v>#REF!</v>
      </c>
      <c r="EX53" t="e">
        <f>AND(#REF!,"AAAAAHe77Jk=")</f>
        <v>#REF!</v>
      </c>
      <c r="EY53" t="e">
        <f>AND(#REF!,"AAAAAHe77Jo=")</f>
        <v>#REF!</v>
      </c>
      <c r="EZ53" t="e">
        <f>AND(#REF!,"AAAAAHe77Js=")</f>
        <v>#REF!</v>
      </c>
      <c r="FA53" t="e">
        <f>AND(#REF!,"AAAAAHe77Jw=")</f>
        <v>#REF!</v>
      </c>
      <c r="FB53" t="e">
        <f>AND(#REF!,"AAAAAHe77J0=")</f>
        <v>#REF!</v>
      </c>
      <c r="FC53" t="e">
        <f>AND(#REF!,"AAAAAHe77J4=")</f>
        <v>#REF!</v>
      </c>
      <c r="FD53" t="e">
        <f>AND(#REF!,"AAAAAHe77J8=")</f>
        <v>#REF!</v>
      </c>
      <c r="FE53" t="e">
        <f>AND(#REF!,"AAAAAHe77KA=")</f>
        <v>#REF!</v>
      </c>
      <c r="FF53" t="e">
        <f>AND(#REF!,"AAAAAHe77KE=")</f>
        <v>#REF!</v>
      </c>
      <c r="FG53" t="e">
        <f>AND(#REF!,"AAAAAHe77KI=")</f>
        <v>#REF!</v>
      </c>
      <c r="FH53" t="e">
        <f>AND(#REF!,"AAAAAHe77KM=")</f>
        <v>#REF!</v>
      </c>
      <c r="FI53" t="e">
        <f>AND(#REF!,"AAAAAHe77KQ=")</f>
        <v>#REF!</v>
      </c>
      <c r="FJ53" t="e">
        <f>AND(#REF!,"AAAAAHe77KU=")</f>
        <v>#REF!</v>
      </c>
      <c r="FK53" t="e">
        <f>AND(#REF!,"AAAAAHe77KY=")</f>
        <v>#REF!</v>
      </c>
      <c r="FL53" t="e">
        <f>AND(#REF!,"AAAAAHe77Kc=")</f>
        <v>#REF!</v>
      </c>
      <c r="FM53" t="e">
        <f>AND(#REF!,"AAAAAHe77Kg=")</f>
        <v>#REF!</v>
      </c>
      <c r="FN53" t="e">
        <f>AND(#REF!,"AAAAAHe77Kk=")</f>
        <v>#REF!</v>
      </c>
      <c r="FO53" t="e">
        <f>AND(#REF!,"AAAAAHe77Ko=")</f>
        <v>#REF!</v>
      </c>
      <c r="FP53" t="e">
        <f>AND(#REF!,"AAAAAHe77Ks=")</f>
        <v>#REF!</v>
      </c>
      <c r="FQ53" t="e">
        <f>AND(#REF!,"AAAAAHe77Kw=")</f>
        <v>#REF!</v>
      </c>
      <c r="FR53" t="e">
        <f>AND(#REF!,"AAAAAHe77K0=")</f>
        <v>#REF!</v>
      </c>
      <c r="FS53" t="e">
        <f>AND(#REF!,"AAAAAHe77K4=")</f>
        <v>#REF!</v>
      </c>
      <c r="FT53" t="e">
        <f>AND(#REF!,"AAAAAHe77K8=")</f>
        <v>#REF!</v>
      </c>
      <c r="FU53" t="e">
        <f>AND(#REF!,"AAAAAHe77LA=")</f>
        <v>#REF!</v>
      </c>
      <c r="FV53" t="e">
        <f>AND(#REF!,"AAAAAHe77LE=")</f>
        <v>#REF!</v>
      </c>
      <c r="FW53" t="e">
        <f>AND(#REF!,"AAAAAHe77LI=")</f>
        <v>#REF!</v>
      </c>
      <c r="FX53" t="e">
        <f>AND(#REF!,"AAAAAHe77LM=")</f>
        <v>#REF!</v>
      </c>
      <c r="FY53" t="e">
        <f>AND(#REF!,"AAAAAHe77LQ=")</f>
        <v>#REF!</v>
      </c>
      <c r="FZ53" t="e">
        <f>AND(#REF!,"AAAAAHe77LU=")</f>
        <v>#REF!</v>
      </c>
      <c r="GA53" t="e">
        <f>AND(#REF!,"AAAAAHe77LY=")</f>
        <v>#REF!</v>
      </c>
      <c r="GB53" t="e">
        <f>AND(#REF!,"AAAAAHe77Lc=")</f>
        <v>#REF!</v>
      </c>
      <c r="GC53" t="e">
        <f>AND(#REF!,"AAAAAHe77Lg=")</f>
        <v>#REF!</v>
      </c>
      <c r="GD53" t="e">
        <f>AND(#REF!,"AAAAAHe77Lk=")</f>
        <v>#REF!</v>
      </c>
      <c r="GE53" t="e">
        <f>AND(#REF!,"AAAAAHe77Lo=")</f>
        <v>#REF!</v>
      </c>
      <c r="GF53" t="e">
        <f>AND(#REF!,"AAAAAHe77Ls=")</f>
        <v>#REF!</v>
      </c>
      <c r="GG53" t="e">
        <f>AND(#REF!,"AAAAAHe77Lw=")</f>
        <v>#REF!</v>
      </c>
      <c r="GH53" t="e">
        <f>AND(#REF!,"AAAAAHe77L0=")</f>
        <v>#REF!</v>
      </c>
      <c r="GI53" t="e">
        <f>AND(#REF!,"AAAAAHe77L4=")</f>
        <v>#REF!</v>
      </c>
      <c r="GJ53" t="e">
        <f>AND(#REF!,"AAAAAHe77L8=")</f>
        <v>#REF!</v>
      </c>
      <c r="GK53" t="e">
        <f>AND(#REF!,"AAAAAHe77MA=")</f>
        <v>#REF!</v>
      </c>
      <c r="GL53" t="e">
        <f>AND(#REF!,"AAAAAHe77ME=")</f>
        <v>#REF!</v>
      </c>
      <c r="GM53" t="e">
        <f>AND(#REF!,"AAAAAHe77MI=")</f>
        <v>#REF!</v>
      </c>
      <c r="GN53" t="e">
        <f>AND(#REF!,"AAAAAHe77MM=")</f>
        <v>#REF!</v>
      </c>
      <c r="GO53" t="e">
        <f>AND(#REF!,"AAAAAHe77MQ=")</f>
        <v>#REF!</v>
      </c>
      <c r="GP53" t="e">
        <f>AND(#REF!,"AAAAAHe77MU=")</f>
        <v>#REF!</v>
      </c>
      <c r="GQ53" t="e">
        <f>AND(#REF!,"AAAAAHe77MY=")</f>
        <v>#REF!</v>
      </c>
      <c r="GR53" t="e">
        <f>AND(#REF!,"AAAAAHe77Mc=")</f>
        <v>#REF!</v>
      </c>
      <c r="GS53" t="e">
        <f>AND(#REF!,"AAAAAHe77Mg=")</f>
        <v>#REF!</v>
      </c>
      <c r="GT53" t="e">
        <f>AND(#REF!,"AAAAAHe77Mk=")</f>
        <v>#REF!</v>
      </c>
      <c r="GU53" t="e">
        <f>AND(#REF!,"AAAAAHe77Mo=")</f>
        <v>#REF!</v>
      </c>
      <c r="GV53" t="e">
        <f>AND(#REF!,"AAAAAHe77Ms=")</f>
        <v>#REF!</v>
      </c>
      <c r="GW53" t="e">
        <f>AND(#REF!,"AAAAAHe77Mw=")</f>
        <v>#REF!</v>
      </c>
      <c r="GX53" t="e">
        <f>AND(#REF!,"AAAAAHe77M0=")</f>
        <v>#REF!</v>
      </c>
      <c r="GY53" t="e">
        <f>AND(#REF!,"AAAAAHe77M4=")</f>
        <v>#REF!</v>
      </c>
      <c r="GZ53" t="e">
        <f>AND(#REF!,"AAAAAHe77M8=")</f>
        <v>#REF!</v>
      </c>
      <c r="HA53" t="e">
        <f>AND(#REF!,"AAAAAHe77NA=")</f>
        <v>#REF!</v>
      </c>
      <c r="HB53" t="e">
        <f>AND(#REF!,"AAAAAHe77NE=")</f>
        <v>#REF!</v>
      </c>
      <c r="HC53" t="e">
        <f>AND(#REF!,"AAAAAHe77NI=")</f>
        <v>#REF!</v>
      </c>
      <c r="HD53" t="e">
        <f>AND(#REF!,"AAAAAHe77NM=")</f>
        <v>#REF!</v>
      </c>
      <c r="HE53" t="e">
        <f>AND(#REF!,"AAAAAHe77NQ=")</f>
        <v>#REF!</v>
      </c>
      <c r="HF53" t="e">
        <f>AND(#REF!,"AAAAAHe77NU=")</f>
        <v>#REF!</v>
      </c>
      <c r="HG53" t="e">
        <f>AND(#REF!,"AAAAAHe77NY=")</f>
        <v>#REF!</v>
      </c>
      <c r="HH53" t="e">
        <f>AND(#REF!,"AAAAAHe77Nc=")</f>
        <v>#REF!</v>
      </c>
      <c r="HI53" t="e">
        <f>AND(#REF!,"AAAAAHe77Ng=")</f>
        <v>#REF!</v>
      </c>
      <c r="HJ53" t="e">
        <f>AND(#REF!,"AAAAAHe77Nk=")</f>
        <v>#REF!</v>
      </c>
      <c r="HK53" t="e">
        <f>AND(#REF!,"AAAAAHe77No=")</f>
        <v>#REF!</v>
      </c>
      <c r="HL53" t="e">
        <f>AND(#REF!,"AAAAAHe77Ns=")</f>
        <v>#REF!</v>
      </c>
      <c r="HM53" t="e">
        <f>AND(#REF!,"AAAAAHe77Nw=")</f>
        <v>#REF!</v>
      </c>
      <c r="HN53" t="e">
        <f>AND(#REF!,"AAAAAHe77N0=")</f>
        <v>#REF!</v>
      </c>
      <c r="HO53" t="e">
        <f>AND(#REF!,"AAAAAHe77N4=")</f>
        <v>#REF!</v>
      </c>
      <c r="HP53" t="e">
        <f>AND(#REF!,"AAAAAHe77N8=")</f>
        <v>#REF!</v>
      </c>
      <c r="HQ53" t="e">
        <f>AND(#REF!,"AAAAAHe77OA=")</f>
        <v>#REF!</v>
      </c>
      <c r="HR53" t="e">
        <f>AND(#REF!,"AAAAAHe77OE=")</f>
        <v>#REF!</v>
      </c>
      <c r="HS53" t="e">
        <f>AND(#REF!,"AAAAAHe77OI=")</f>
        <v>#REF!</v>
      </c>
      <c r="HT53" t="e">
        <f>AND(#REF!,"AAAAAHe77OM=")</f>
        <v>#REF!</v>
      </c>
      <c r="HU53" t="e">
        <f>AND(#REF!,"AAAAAHe77OQ=")</f>
        <v>#REF!</v>
      </c>
      <c r="HV53" t="e">
        <f>AND(#REF!,"AAAAAHe77OU=")</f>
        <v>#REF!</v>
      </c>
      <c r="HW53" t="e">
        <f>AND(#REF!,"AAAAAHe77OY=")</f>
        <v>#REF!</v>
      </c>
      <c r="HX53" t="e">
        <f>AND(#REF!,"AAAAAHe77Oc=")</f>
        <v>#REF!</v>
      </c>
      <c r="HY53" t="e">
        <f>AND(#REF!,"AAAAAHe77Og=")</f>
        <v>#REF!</v>
      </c>
      <c r="HZ53" t="e">
        <f>AND(#REF!,"AAAAAHe77Ok=")</f>
        <v>#REF!</v>
      </c>
      <c r="IA53" t="e">
        <f>AND(#REF!,"AAAAAHe77Oo=")</f>
        <v>#REF!</v>
      </c>
      <c r="IB53" t="e">
        <f>AND(#REF!,"AAAAAHe77Os=")</f>
        <v>#REF!</v>
      </c>
      <c r="IC53" t="e">
        <f>AND(#REF!,"AAAAAHe77Ow=")</f>
        <v>#REF!</v>
      </c>
      <c r="ID53" t="e">
        <f>AND(#REF!,"AAAAAHe77O0=")</f>
        <v>#REF!</v>
      </c>
      <c r="IE53" t="e">
        <f>AND(#REF!,"AAAAAHe77O4=")</f>
        <v>#REF!</v>
      </c>
      <c r="IF53" t="e">
        <f>AND(#REF!,"AAAAAHe77O8=")</f>
        <v>#REF!</v>
      </c>
      <c r="IG53" t="e">
        <f>AND(#REF!,"AAAAAHe77PA=")</f>
        <v>#REF!</v>
      </c>
      <c r="IH53" t="e">
        <f>AND(#REF!,"AAAAAHe77PE=")</f>
        <v>#REF!</v>
      </c>
      <c r="II53" t="e">
        <f>AND(#REF!,"AAAAAHe77PI=")</f>
        <v>#REF!</v>
      </c>
      <c r="IJ53" t="e">
        <f>AND(#REF!,"AAAAAHe77PM=")</f>
        <v>#REF!</v>
      </c>
      <c r="IK53" t="e">
        <f>AND(#REF!,"AAAAAHe77PQ=")</f>
        <v>#REF!</v>
      </c>
      <c r="IL53" t="e">
        <f>AND(#REF!,"AAAAAHe77PU=")</f>
        <v>#REF!</v>
      </c>
      <c r="IM53" t="e">
        <f>AND(#REF!,"AAAAAHe77PY=")</f>
        <v>#REF!</v>
      </c>
      <c r="IN53" t="e">
        <f>AND(#REF!,"AAAAAHe77Pc=")</f>
        <v>#REF!</v>
      </c>
      <c r="IO53" t="e">
        <f>AND(#REF!,"AAAAAHe77Pg=")</f>
        <v>#REF!</v>
      </c>
      <c r="IP53" t="e">
        <f>AND(#REF!,"AAAAAHe77Pk=")</f>
        <v>#REF!</v>
      </c>
      <c r="IQ53" t="e">
        <f>AND(#REF!,"AAAAAHe77Po=")</f>
        <v>#REF!</v>
      </c>
      <c r="IR53" t="e">
        <f>AND(#REF!,"AAAAAHe77Ps=")</f>
        <v>#REF!</v>
      </c>
      <c r="IS53" t="e">
        <f>AND(#REF!,"AAAAAHe77Pw=")</f>
        <v>#REF!</v>
      </c>
      <c r="IT53" t="e">
        <f>AND(#REF!,"AAAAAHe77P0=")</f>
        <v>#REF!</v>
      </c>
      <c r="IU53" t="e">
        <f>AND(#REF!,"AAAAAHe77P4=")</f>
        <v>#REF!</v>
      </c>
      <c r="IV53" t="e">
        <f>AND(#REF!,"AAAAAHe77P8=")</f>
        <v>#REF!</v>
      </c>
    </row>
    <row r="54" spans="1:256" ht="15">
      <c r="A54" t="e">
        <f>AND(#REF!,"AAAAAG/6+wA=")</f>
        <v>#REF!</v>
      </c>
      <c r="B54" t="e">
        <f>AND(#REF!,"AAAAAG/6+wE=")</f>
        <v>#REF!</v>
      </c>
      <c r="C54" t="e">
        <f>AND(#REF!,"AAAAAG/6+wI=")</f>
        <v>#REF!</v>
      </c>
      <c r="D54" t="e">
        <f>AND(#REF!,"AAAAAG/6+wM=")</f>
        <v>#REF!</v>
      </c>
      <c r="E54" t="e">
        <f>AND(#REF!,"AAAAAG/6+wQ=")</f>
        <v>#REF!</v>
      </c>
      <c r="F54" t="e">
        <f>AND(#REF!,"AAAAAG/6+wU=")</f>
        <v>#REF!</v>
      </c>
      <c r="G54" t="e">
        <f>AND(#REF!,"AAAAAG/6+wY=")</f>
        <v>#REF!</v>
      </c>
      <c r="H54" t="e">
        <f>AND(#REF!,"AAAAAG/6+wc=")</f>
        <v>#REF!</v>
      </c>
      <c r="I54" t="e">
        <f>AND(#REF!,"AAAAAG/6+wg=")</f>
        <v>#REF!</v>
      </c>
      <c r="J54" t="e">
        <f>AND(#REF!,"AAAAAG/6+wk=")</f>
        <v>#REF!</v>
      </c>
      <c r="K54" t="e">
        <f>AND(#REF!,"AAAAAG/6+wo=")</f>
        <v>#REF!</v>
      </c>
      <c r="L54" t="e">
        <f>AND(#REF!,"AAAAAG/6+ws=")</f>
        <v>#REF!</v>
      </c>
      <c r="M54" t="e">
        <f>AND(#REF!,"AAAAAG/6+ww=")</f>
        <v>#REF!</v>
      </c>
      <c r="N54" t="e">
        <f>AND(#REF!,"AAAAAG/6+w0=")</f>
        <v>#REF!</v>
      </c>
      <c r="O54" t="e">
        <f>AND(#REF!,"AAAAAG/6+w4=")</f>
        <v>#REF!</v>
      </c>
      <c r="P54" t="e">
        <f>AND(#REF!,"AAAAAG/6+w8=")</f>
        <v>#REF!</v>
      </c>
      <c r="Q54" t="e">
        <f>AND(#REF!,"AAAAAG/6+xA=")</f>
        <v>#REF!</v>
      </c>
      <c r="R54" t="e">
        <f>AND(#REF!,"AAAAAG/6+xE=")</f>
        <v>#REF!</v>
      </c>
      <c r="S54" t="e">
        <f>AND(#REF!,"AAAAAG/6+xI=")</f>
        <v>#REF!</v>
      </c>
      <c r="T54" t="e">
        <f>AND(#REF!,"AAAAAG/6+xM=")</f>
        <v>#REF!</v>
      </c>
      <c r="U54" t="e">
        <f>AND(#REF!,"AAAAAG/6+xQ=")</f>
        <v>#REF!</v>
      </c>
      <c r="V54" t="e">
        <f>AND(#REF!,"AAAAAG/6+xU=")</f>
        <v>#REF!</v>
      </c>
      <c r="W54" t="e">
        <f>AND(#REF!,"AAAAAG/6+xY=")</f>
        <v>#REF!</v>
      </c>
      <c r="X54" t="e">
        <f>AND(#REF!,"AAAAAG/6+xc=")</f>
        <v>#REF!</v>
      </c>
      <c r="Y54" t="e">
        <f>AND(#REF!,"AAAAAG/6+xg=")</f>
        <v>#REF!</v>
      </c>
      <c r="Z54" t="e">
        <f>AND(#REF!,"AAAAAG/6+xk=")</f>
        <v>#REF!</v>
      </c>
      <c r="AA54" t="e">
        <f>AND(#REF!,"AAAAAG/6+xo=")</f>
        <v>#REF!</v>
      </c>
      <c r="AB54" t="e">
        <f>AND(#REF!,"AAAAAG/6+xs=")</f>
        <v>#REF!</v>
      </c>
      <c r="AC54" t="e">
        <f>AND(#REF!,"AAAAAG/6+xw=")</f>
        <v>#REF!</v>
      </c>
      <c r="AD54" t="e">
        <f>AND(#REF!,"AAAAAG/6+x0=")</f>
        <v>#REF!</v>
      </c>
      <c r="AE54" t="e">
        <f>AND(#REF!,"AAAAAG/6+x4=")</f>
        <v>#REF!</v>
      </c>
      <c r="AF54" t="e">
        <f>IF(#REF!,"AAAAAG/6+x8=",0)</f>
        <v>#REF!</v>
      </c>
      <c r="AG54" t="e">
        <f>AND(#REF!,"AAAAAG/6+yA=")</f>
        <v>#REF!</v>
      </c>
      <c r="AH54" t="e">
        <f>AND(#REF!,"AAAAAG/6+yE=")</f>
        <v>#REF!</v>
      </c>
      <c r="AI54" t="e">
        <f>AND(#REF!,"AAAAAG/6+yI=")</f>
        <v>#REF!</v>
      </c>
      <c r="AJ54" t="e">
        <f>AND(#REF!,"AAAAAG/6+yM=")</f>
        <v>#REF!</v>
      </c>
      <c r="AK54" t="e">
        <f>AND(#REF!,"AAAAAG/6+yQ=")</f>
        <v>#REF!</v>
      </c>
      <c r="AL54" t="e">
        <f>AND(#REF!,"AAAAAG/6+yU=")</f>
        <v>#REF!</v>
      </c>
      <c r="AM54" t="e">
        <f>AND(#REF!,"AAAAAG/6+yY=")</f>
        <v>#REF!</v>
      </c>
      <c r="AN54" t="e">
        <f>AND(#REF!,"AAAAAG/6+yc=")</f>
        <v>#REF!</v>
      </c>
      <c r="AO54" t="e">
        <f>AND(#REF!,"AAAAAG/6+yg=")</f>
        <v>#REF!</v>
      </c>
      <c r="AP54" t="e">
        <f>AND(#REF!,"AAAAAG/6+yk=")</f>
        <v>#REF!</v>
      </c>
      <c r="AQ54" t="e">
        <f>AND(#REF!,"AAAAAG/6+yo=")</f>
        <v>#REF!</v>
      </c>
      <c r="AR54" t="e">
        <f>AND(#REF!,"AAAAAG/6+ys=")</f>
        <v>#REF!</v>
      </c>
      <c r="AS54" t="e">
        <f>AND(#REF!,"AAAAAG/6+yw=")</f>
        <v>#REF!</v>
      </c>
      <c r="AT54" t="e">
        <f>AND(#REF!,"AAAAAG/6+y0=")</f>
        <v>#REF!</v>
      </c>
      <c r="AU54" t="e">
        <f>AND(#REF!,"AAAAAG/6+y4=")</f>
        <v>#REF!</v>
      </c>
      <c r="AV54" t="e">
        <f>AND(#REF!,"AAAAAG/6+y8=")</f>
        <v>#REF!</v>
      </c>
      <c r="AW54" t="e">
        <f>AND(#REF!,"AAAAAG/6+zA=")</f>
        <v>#REF!</v>
      </c>
      <c r="AX54" t="e">
        <f>AND(#REF!,"AAAAAG/6+zE=")</f>
        <v>#REF!</v>
      </c>
      <c r="AY54" t="e">
        <f>AND(#REF!,"AAAAAG/6+zI=")</f>
        <v>#REF!</v>
      </c>
      <c r="AZ54" t="e">
        <f>AND(#REF!,"AAAAAG/6+zM=")</f>
        <v>#REF!</v>
      </c>
      <c r="BA54" t="e">
        <f>AND(#REF!,"AAAAAG/6+zQ=")</f>
        <v>#REF!</v>
      </c>
      <c r="BB54" t="e">
        <f>AND(#REF!,"AAAAAG/6+zU=")</f>
        <v>#REF!</v>
      </c>
      <c r="BC54" t="e">
        <f>AND(#REF!,"AAAAAG/6+zY=")</f>
        <v>#REF!</v>
      </c>
      <c r="BD54" t="e">
        <f>AND(#REF!,"AAAAAG/6+zc=")</f>
        <v>#REF!</v>
      </c>
      <c r="BE54" t="e">
        <f>AND(#REF!,"AAAAAG/6+zg=")</f>
        <v>#REF!</v>
      </c>
      <c r="BF54" t="e">
        <f>AND(#REF!,"AAAAAG/6+zk=")</f>
        <v>#REF!</v>
      </c>
      <c r="BG54" t="e">
        <f>AND(#REF!,"AAAAAG/6+zo=")</f>
        <v>#REF!</v>
      </c>
      <c r="BH54" t="e">
        <f>AND(#REF!,"AAAAAG/6+zs=")</f>
        <v>#REF!</v>
      </c>
      <c r="BI54" t="e">
        <f>AND(#REF!,"AAAAAG/6+zw=")</f>
        <v>#REF!</v>
      </c>
      <c r="BJ54" t="e">
        <f>AND(#REF!,"AAAAAG/6+z0=")</f>
        <v>#REF!</v>
      </c>
      <c r="BK54" t="e">
        <f>AND(#REF!,"AAAAAG/6+z4=")</f>
        <v>#REF!</v>
      </c>
      <c r="BL54" t="e">
        <f>AND(#REF!,"AAAAAG/6+z8=")</f>
        <v>#REF!</v>
      </c>
      <c r="BM54" t="e">
        <f>AND(#REF!,"AAAAAG/6+0A=")</f>
        <v>#REF!</v>
      </c>
      <c r="BN54" t="e">
        <f>AND(#REF!,"AAAAAG/6+0E=")</f>
        <v>#REF!</v>
      </c>
      <c r="BO54" t="e">
        <f>AND(#REF!,"AAAAAG/6+0I=")</f>
        <v>#REF!</v>
      </c>
      <c r="BP54" t="e">
        <f>AND(#REF!,"AAAAAG/6+0M=")</f>
        <v>#REF!</v>
      </c>
      <c r="BQ54" t="e">
        <f>AND(#REF!,"AAAAAG/6+0Q=")</f>
        <v>#REF!</v>
      </c>
      <c r="BR54" t="e">
        <f>AND(#REF!,"AAAAAG/6+0U=")</f>
        <v>#REF!</v>
      </c>
      <c r="BS54" t="e">
        <f>AND(#REF!,"AAAAAG/6+0Y=")</f>
        <v>#REF!</v>
      </c>
      <c r="BT54" t="e">
        <f>AND(#REF!,"AAAAAG/6+0c=")</f>
        <v>#REF!</v>
      </c>
      <c r="BU54" t="e">
        <f>AND(#REF!,"AAAAAG/6+0g=")</f>
        <v>#REF!</v>
      </c>
      <c r="BV54" t="e">
        <f>AND(#REF!,"AAAAAG/6+0k=")</f>
        <v>#REF!</v>
      </c>
      <c r="BW54" t="e">
        <f>AND(#REF!,"AAAAAG/6+0o=")</f>
        <v>#REF!</v>
      </c>
      <c r="BX54" t="e">
        <f>AND(#REF!,"AAAAAG/6+0s=")</f>
        <v>#REF!</v>
      </c>
      <c r="BY54" t="e">
        <f>AND(#REF!,"AAAAAG/6+0w=")</f>
        <v>#REF!</v>
      </c>
      <c r="BZ54" t="e">
        <f>AND(#REF!,"AAAAAG/6+00=")</f>
        <v>#REF!</v>
      </c>
      <c r="CA54" t="e">
        <f>AND(#REF!,"AAAAAG/6+04=")</f>
        <v>#REF!</v>
      </c>
      <c r="CB54" t="e">
        <f>AND(#REF!,"AAAAAG/6+08=")</f>
        <v>#REF!</v>
      </c>
      <c r="CC54" t="e">
        <f>AND(#REF!,"AAAAAG/6+1A=")</f>
        <v>#REF!</v>
      </c>
      <c r="CD54" t="e">
        <f>AND(#REF!,"AAAAAG/6+1E=")</f>
        <v>#REF!</v>
      </c>
      <c r="CE54" t="e">
        <f>AND(#REF!,"AAAAAG/6+1I=")</f>
        <v>#REF!</v>
      </c>
      <c r="CF54" t="e">
        <f>AND(#REF!,"AAAAAG/6+1M=")</f>
        <v>#REF!</v>
      </c>
      <c r="CG54" t="e">
        <f>AND(#REF!,"AAAAAG/6+1Q=")</f>
        <v>#REF!</v>
      </c>
      <c r="CH54" t="e">
        <f>AND(#REF!,"AAAAAG/6+1U=")</f>
        <v>#REF!</v>
      </c>
      <c r="CI54" t="e">
        <f>AND(#REF!,"AAAAAG/6+1Y=")</f>
        <v>#REF!</v>
      </c>
      <c r="CJ54" t="e">
        <f>AND(#REF!,"AAAAAG/6+1c=")</f>
        <v>#REF!</v>
      </c>
      <c r="CK54" t="e">
        <f>AND(#REF!,"AAAAAG/6+1g=")</f>
        <v>#REF!</v>
      </c>
      <c r="CL54" t="e">
        <f>AND(#REF!,"AAAAAG/6+1k=")</f>
        <v>#REF!</v>
      </c>
      <c r="CM54" t="e">
        <f>AND(#REF!,"AAAAAG/6+1o=")</f>
        <v>#REF!</v>
      </c>
      <c r="CN54" t="e">
        <f>AND(#REF!,"AAAAAG/6+1s=")</f>
        <v>#REF!</v>
      </c>
      <c r="CO54" t="e">
        <f>AND(#REF!,"AAAAAG/6+1w=")</f>
        <v>#REF!</v>
      </c>
      <c r="CP54" t="e">
        <f>AND(#REF!,"AAAAAG/6+10=")</f>
        <v>#REF!</v>
      </c>
      <c r="CQ54" t="e">
        <f>AND(#REF!,"AAAAAG/6+14=")</f>
        <v>#REF!</v>
      </c>
      <c r="CR54" t="e">
        <f>AND(#REF!,"AAAAAG/6+18=")</f>
        <v>#REF!</v>
      </c>
      <c r="CS54" t="e">
        <f>AND(#REF!,"AAAAAG/6+2A=")</f>
        <v>#REF!</v>
      </c>
      <c r="CT54" t="e">
        <f>AND(#REF!,"AAAAAG/6+2E=")</f>
        <v>#REF!</v>
      </c>
      <c r="CU54" t="e">
        <f>AND(#REF!,"AAAAAG/6+2I=")</f>
        <v>#REF!</v>
      </c>
      <c r="CV54" t="e">
        <f>AND(#REF!,"AAAAAG/6+2M=")</f>
        <v>#REF!</v>
      </c>
      <c r="CW54" t="e">
        <f>AND(#REF!,"AAAAAG/6+2Q=")</f>
        <v>#REF!</v>
      </c>
      <c r="CX54" t="e">
        <f>AND(#REF!,"AAAAAG/6+2U=")</f>
        <v>#REF!</v>
      </c>
      <c r="CY54" t="e">
        <f>AND(#REF!,"AAAAAG/6+2Y=")</f>
        <v>#REF!</v>
      </c>
      <c r="CZ54" t="e">
        <f>AND(#REF!,"AAAAAG/6+2c=")</f>
        <v>#REF!</v>
      </c>
      <c r="DA54" t="e">
        <f>AND(#REF!,"AAAAAG/6+2g=")</f>
        <v>#REF!</v>
      </c>
      <c r="DB54" t="e">
        <f>AND(#REF!,"AAAAAG/6+2k=")</f>
        <v>#REF!</v>
      </c>
      <c r="DC54" t="e">
        <f>AND(#REF!,"AAAAAG/6+2o=")</f>
        <v>#REF!</v>
      </c>
      <c r="DD54" t="e">
        <f>AND(#REF!,"AAAAAG/6+2s=")</f>
        <v>#REF!</v>
      </c>
      <c r="DE54" t="e">
        <f>AND(#REF!,"AAAAAG/6+2w=")</f>
        <v>#REF!</v>
      </c>
      <c r="DF54" t="e">
        <f>AND(#REF!,"AAAAAG/6+20=")</f>
        <v>#REF!</v>
      </c>
      <c r="DG54" t="e">
        <f>AND(#REF!,"AAAAAG/6+24=")</f>
        <v>#REF!</v>
      </c>
      <c r="DH54" t="e">
        <f>AND(#REF!,"AAAAAG/6+28=")</f>
        <v>#REF!</v>
      </c>
      <c r="DI54" t="e">
        <f>AND(#REF!,"AAAAAG/6+3A=")</f>
        <v>#REF!</v>
      </c>
      <c r="DJ54" t="e">
        <f>AND(#REF!,"AAAAAG/6+3E=")</f>
        <v>#REF!</v>
      </c>
      <c r="DK54" t="e">
        <f>AND(#REF!,"AAAAAG/6+3I=")</f>
        <v>#REF!</v>
      </c>
      <c r="DL54" t="e">
        <f>AND(#REF!,"AAAAAG/6+3M=")</f>
        <v>#REF!</v>
      </c>
      <c r="DM54" t="e">
        <f>AND(#REF!,"AAAAAG/6+3Q=")</f>
        <v>#REF!</v>
      </c>
      <c r="DN54" t="e">
        <f>AND(#REF!,"AAAAAG/6+3U=")</f>
        <v>#REF!</v>
      </c>
      <c r="DO54" t="e">
        <f>AND(#REF!,"AAAAAG/6+3Y=")</f>
        <v>#REF!</v>
      </c>
      <c r="DP54" t="e">
        <f>AND(#REF!,"AAAAAG/6+3c=")</f>
        <v>#REF!</v>
      </c>
      <c r="DQ54" t="e">
        <f>AND(#REF!,"AAAAAG/6+3g=")</f>
        <v>#REF!</v>
      </c>
      <c r="DR54" t="e">
        <f>AND(#REF!,"AAAAAG/6+3k=")</f>
        <v>#REF!</v>
      </c>
      <c r="DS54" t="e">
        <f>AND(#REF!,"AAAAAG/6+3o=")</f>
        <v>#REF!</v>
      </c>
      <c r="DT54" t="e">
        <f>AND(#REF!,"AAAAAG/6+3s=")</f>
        <v>#REF!</v>
      </c>
      <c r="DU54" t="e">
        <f>AND(#REF!,"AAAAAG/6+3w=")</f>
        <v>#REF!</v>
      </c>
      <c r="DV54" t="e">
        <f>AND(#REF!,"AAAAAG/6+30=")</f>
        <v>#REF!</v>
      </c>
      <c r="DW54" t="e">
        <f>AND(#REF!,"AAAAAG/6+34=")</f>
        <v>#REF!</v>
      </c>
      <c r="DX54" t="e">
        <f>AND(#REF!,"AAAAAG/6+38=")</f>
        <v>#REF!</v>
      </c>
      <c r="DY54" t="e">
        <f>AND(#REF!,"AAAAAG/6+4A=")</f>
        <v>#REF!</v>
      </c>
      <c r="DZ54" t="e">
        <f>AND(#REF!,"AAAAAG/6+4E=")</f>
        <v>#REF!</v>
      </c>
      <c r="EA54" t="e">
        <f>AND(#REF!,"AAAAAG/6+4I=")</f>
        <v>#REF!</v>
      </c>
      <c r="EB54" t="e">
        <f>AND(#REF!,"AAAAAG/6+4M=")</f>
        <v>#REF!</v>
      </c>
      <c r="EC54" t="e">
        <f>AND(#REF!,"AAAAAG/6+4Q=")</f>
        <v>#REF!</v>
      </c>
      <c r="ED54" t="e">
        <f>AND(#REF!,"AAAAAG/6+4U=")</f>
        <v>#REF!</v>
      </c>
      <c r="EE54" t="e">
        <f>AND(#REF!,"AAAAAG/6+4Y=")</f>
        <v>#REF!</v>
      </c>
      <c r="EF54" t="e">
        <f>AND(#REF!,"AAAAAG/6+4c=")</f>
        <v>#REF!</v>
      </c>
      <c r="EG54" t="e">
        <f>AND(#REF!,"AAAAAG/6+4g=")</f>
        <v>#REF!</v>
      </c>
      <c r="EH54" t="e">
        <f>AND(#REF!,"AAAAAG/6+4k=")</f>
        <v>#REF!</v>
      </c>
      <c r="EI54" t="e">
        <f>AND(#REF!,"AAAAAG/6+4o=")</f>
        <v>#REF!</v>
      </c>
      <c r="EJ54" t="e">
        <f>AND(#REF!,"AAAAAG/6+4s=")</f>
        <v>#REF!</v>
      </c>
      <c r="EK54" t="e">
        <f>AND(#REF!,"AAAAAG/6+4w=")</f>
        <v>#REF!</v>
      </c>
      <c r="EL54" t="e">
        <f>AND(#REF!,"AAAAAG/6+40=")</f>
        <v>#REF!</v>
      </c>
      <c r="EM54" t="e">
        <f>AND(#REF!,"AAAAAG/6+44=")</f>
        <v>#REF!</v>
      </c>
      <c r="EN54" t="e">
        <f>AND(#REF!,"AAAAAG/6+48=")</f>
        <v>#REF!</v>
      </c>
      <c r="EO54" t="e">
        <f>AND(#REF!,"AAAAAG/6+5A=")</f>
        <v>#REF!</v>
      </c>
      <c r="EP54" t="e">
        <f>AND(#REF!,"AAAAAG/6+5E=")</f>
        <v>#REF!</v>
      </c>
      <c r="EQ54" t="e">
        <f>AND(#REF!,"AAAAAG/6+5I=")</f>
        <v>#REF!</v>
      </c>
      <c r="ER54" t="e">
        <f>AND(#REF!,"AAAAAG/6+5M=")</f>
        <v>#REF!</v>
      </c>
      <c r="ES54" t="e">
        <f>AND(#REF!,"AAAAAG/6+5Q=")</f>
        <v>#REF!</v>
      </c>
      <c r="ET54" t="e">
        <f>AND(#REF!,"AAAAAG/6+5U=")</f>
        <v>#REF!</v>
      </c>
      <c r="EU54" t="e">
        <f>AND(#REF!,"AAAAAG/6+5Y=")</f>
        <v>#REF!</v>
      </c>
      <c r="EV54" t="e">
        <f>AND(#REF!,"AAAAAG/6+5c=")</f>
        <v>#REF!</v>
      </c>
      <c r="EW54" t="e">
        <f>AND(#REF!,"AAAAAG/6+5g=")</f>
        <v>#REF!</v>
      </c>
      <c r="EX54" t="e">
        <f>AND(#REF!,"AAAAAG/6+5k=")</f>
        <v>#REF!</v>
      </c>
      <c r="EY54" t="e">
        <f>AND(#REF!,"AAAAAG/6+5o=")</f>
        <v>#REF!</v>
      </c>
      <c r="EZ54" t="e">
        <f>AND(#REF!,"AAAAAG/6+5s=")</f>
        <v>#REF!</v>
      </c>
      <c r="FA54" t="e">
        <f>AND(#REF!,"AAAAAG/6+5w=")</f>
        <v>#REF!</v>
      </c>
      <c r="FB54" t="e">
        <f>AND(#REF!,"AAAAAG/6+50=")</f>
        <v>#REF!</v>
      </c>
      <c r="FC54" t="e">
        <f>AND(#REF!,"AAAAAG/6+54=")</f>
        <v>#REF!</v>
      </c>
      <c r="FD54" t="e">
        <f>AND(#REF!,"AAAAAG/6+58=")</f>
        <v>#REF!</v>
      </c>
      <c r="FE54" t="e">
        <f>AND(#REF!,"AAAAAG/6+6A=")</f>
        <v>#REF!</v>
      </c>
      <c r="FF54" t="e">
        <f>AND(#REF!,"AAAAAG/6+6E=")</f>
        <v>#REF!</v>
      </c>
      <c r="FG54" t="e">
        <f>AND(#REF!,"AAAAAG/6+6I=")</f>
        <v>#REF!</v>
      </c>
      <c r="FH54" t="e">
        <f>AND(#REF!,"AAAAAG/6+6M=")</f>
        <v>#REF!</v>
      </c>
      <c r="FI54" t="e">
        <f>AND(#REF!,"AAAAAG/6+6Q=")</f>
        <v>#REF!</v>
      </c>
      <c r="FJ54" t="e">
        <f>AND(#REF!,"AAAAAG/6+6U=")</f>
        <v>#REF!</v>
      </c>
      <c r="FK54" t="e">
        <f>AND(#REF!,"AAAAAG/6+6Y=")</f>
        <v>#REF!</v>
      </c>
      <c r="FL54" t="e">
        <f>IF(#REF!,"AAAAAG/6+6c=",0)</f>
        <v>#REF!</v>
      </c>
      <c r="FM54" t="e">
        <f>AND(#REF!,"AAAAAG/6+6g=")</f>
        <v>#REF!</v>
      </c>
      <c r="FN54" t="e">
        <f>AND(#REF!,"AAAAAG/6+6k=")</f>
        <v>#REF!</v>
      </c>
      <c r="FO54" t="e">
        <f>AND(#REF!,"AAAAAG/6+6o=")</f>
        <v>#REF!</v>
      </c>
      <c r="FP54" t="e">
        <f>AND(#REF!,"AAAAAG/6+6s=")</f>
        <v>#REF!</v>
      </c>
      <c r="FQ54" t="e">
        <f>AND(#REF!,"AAAAAG/6+6w=")</f>
        <v>#REF!</v>
      </c>
      <c r="FR54" t="e">
        <f>AND(#REF!,"AAAAAG/6+60=")</f>
        <v>#REF!</v>
      </c>
      <c r="FS54" t="e">
        <f>AND(#REF!,"AAAAAG/6+64=")</f>
        <v>#REF!</v>
      </c>
      <c r="FT54" t="e">
        <f>AND(#REF!,"AAAAAG/6+68=")</f>
        <v>#REF!</v>
      </c>
      <c r="FU54" t="e">
        <f>AND(#REF!,"AAAAAG/6+7A=")</f>
        <v>#REF!</v>
      </c>
      <c r="FV54" t="e">
        <f>AND(#REF!,"AAAAAG/6+7E=")</f>
        <v>#REF!</v>
      </c>
      <c r="FW54" t="e">
        <f>AND(#REF!,"AAAAAG/6+7I=")</f>
        <v>#REF!</v>
      </c>
      <c r="FX54" t="e">
        <f>AND(#REF!,"AAAAAG/6+7M=")</f>
        <v>#REF!</v>
      </c>
      <c r="FY54" t="e">
        <f>AND(#REF!,"AAAAAG/6+7Q=")</f>
        <v>#REF!</v>
      </c>
      <c r="FZ54" t="e">
        <f>AND(#REF!,"AAAAAG/6+7U=")</f>
        <v>#REF!</v>
      </c>
      <c r="GA54" t="e">
        <f>AND(#REF!,"AAAAAG/6+7Y=")</f>
        <v>#REF!</v>
      </c>
      <c r="GB54" t="e">
        <f>AND(#REF!,"AAAAAG/6+7c=")</f>
        <v>#REF!</v>
      </c>
      <c r="GC54" t="e">
        <f>AND(#REF!,"AAAAAG/6+7g=")</f>
        <v>#REF!</v>
      </c>
      <c r="GD54" t="e">
        <f>AND(#REF!,"AAAAAG/6+7k=")</f>
        <v>#REF!</v>
      </c>
      <c r="GE54" t="e">
        <f>AND(#REF!,"AAAAAG/6+7o=")</f>
        <v>#REF!</v>
      </c>
      <c r="GF54" t="e">
        <f>AND(#REF!,"AAAAAG/6+7s=")</f>
        <v>#REF!</v>
      </c>
      <c r="GG54" t="e">
        <f>AND(#REF!,"AAAAAG/6+7w=")</f>
        <v>#REF!</v>
      </c>
      <c r="GH54" t="e">
        <f>AND(#REF!,"AAAAAG/6+70=")</f>
        <v>#REF!</v>
      </c>
      <c r="GI54" t="e">
        <f>AND(#REF!,"AAAAAG/6+74=")</f>
        <v>#REF!</v>
      </c>
      <c r="GJ54" t="e">
        <f>AND(#REF!,"AAAAAG/6+78=")</f>
        <v>#REF!</v>
      </c>
      <c r="GK54" t="e">
        <f>AND(#REF!,"AAAAAG/6+8A=")</f>
        <v>#REF!</v>
      </c>
      <c r="GL54" t="e">
        <f>AND(#REF!,"AAAAAG/6+8E=")</f>
        <v>#REF!</v>
      </c>
      <c r="GM54" t="e">
        <f>AND(#REF!,"AAAAAG/6+8I=")</f>
        <v>#REF!</v>
      </c>
      <c r="GN54" t="e">
        <f>AND(#REF!,"AAAAAG/6+8M=")</f>
        <v>#REF!</v>
      </c>
      <c r="GO54" t="e">
        <f>AND(#REF!,"AAAAAG/6+8Q=")</f>
        <v>#REF!</v>
      </c>
      <c r="GP54" t="e">
        <f>AND(#REF!,"AAAAAG/6+8U=")</f>
        <v>#REF!</v>
      </c>
      <c r="GQ54" t="e">
        <f>AND(#REF!,"AAAAAG/6+8Y=")</f>
        <v>#REF!</v>
      </c>
      <c r="GR54" t="e">
        <f>AND(#REF!,"AAAAAG/6+8c=")</f>
        <v>#REF!</v>
      </c>
      <c r="GS54" t="e">
        <f>AND(#REF!,"AAAAAG/6+8g=")</f>
        <v>#REF!</v>
      </c>
      <c r="GT54" t="e">
        <f>AND(#REF!,"AAAAAG/6+8k=")</f>
        <v>#REF!</v>
      </c>
      <c r="GU54" t="e">
        <f>AND(#REF!,"AAAAAG/6+8o=")</f>
        <v>#REF!</v>
      </c>
      <c r="GV54" t="e">
        <f>AND(#REF!,"AAAAAG/6+8s=")</f>
        <v>#REF!</v>
      </c>
      <c r="GW54" t="e">
        <f>AND(#REF!,"AAAAAG/6+8w=")</f>
        <v>#REF!</v>
      </c>
      <c r="GX54" t="e">
        <f>AND(#REF!,"AAAAAG/6+80=")</f>
        <v>#REF!</v>
      </c>
      <c r="GY54" t="e">
        <f>AND(#REF!,"AAAAAG/6+84=")</f>
        <v>#REF!</v>
      </c>
      <c r="GZ54" t="e">
        <f>AND(#REF!,"AAAAAG/6+88=")</f>
        <v>#REF!</v>
      </c>
      <c r="HA54" t="e">
        <f>AND(#REF!,"AAAAAG/6+9A=")</f>
        <v>#REF!</v>
      </c>
      <c r="HB54" t="e">
        <f>AND(#REF!,"AAAAAG/6+9E=")</f>
        <v>#REF!</v>
      </c>
      <c r="HC54" t="e">
        <f>AND(#REF!,"AAAAAG/6+9I=")</f>
        <v>#REF!</v>
      </c>
      <c r="HD54" t="e">
        <f>AND(#REF!,"AAAAAG/6+9M=")</f>
        <v>#REF!</v>
      </c>
      <c r="HE54" t="e">
        <f>AND(#REF!,"AAAAAG/6+9Q=")</f>
        <v>#REF!</v>
      </c>
      <c r="HF54" t="e">
        <f>AND(#REF!,"AAAAAG/6+9U=")</f>
        <v>#REF!</v>
      </c>
      <c r="HG54" t="e">
        <f>AND(#REF!,"AAAAAG/6+9Y=")</f>
        <v>#REF!</v>
      </c>
      <c r="HH54" t="e">
        <f>AND(#REF!,"AAAAAG/6+9c=")</f>
        <v>#REF!</v>
      </c>
      <c r="HI54" t="e">
        <f>AND(#REF!,"AAAAAG/6+9g=")</f>
        <v>#REF!</v>
      </c>
      <c r="HJ54" t="e">
        <f>AND(#REF!,"AAAAAG/6+9k=")</f>
        <v>#REF!</v>
      </c>
      <c r="HK54" t="e">
        <f>AND(#REF!,"AAAAAG/6+9o=")</f>
        <v>#REF!</v>
      </c>
      <c r="HL54" t="e">
        <f>AND(#REF!,"AAAAAG/6+9s=")</f>
        <v>#REF!</v>
      </c>
      <c r="HM54" t="e">
        <f>AND(#REF!,"AAAAAG/6+9w=")</f>
        <v>#REF!</v>
      </c>
      <c r="HN54" t="e">
        <f>AND(#REF!,"AAAAAG/6+90=")</f>
        <v>#REF!</v>
      </c>
      <c r="HO54" t="e">
        <f>AND(#REF!,"AAAAAG/6+94=")</f>
        <v>#REF!</v>
      </c>
      <c r="HP54" t="e">
        <f>AND(#REF!,"AAAAAG/6+98=")</f>
        <v>#REF!</v>
      </c>
      <c r="HQ54" t="e">
        <f>AND(#REF!,"AAAAAG/6++A=")</f>
        <v>#REF!</v>
      </c>
      <c r="HR54" t="e">
        <f>AND(#REF!,"AAAAAG/6++E=")</f>
        <v>#REF!</v>
      </c>
      <c r="HS54" t="e">
        <f>AND(#REF!,"AAAAAG/6++I=")</f>
        <v>#REF!</v>
      </c>
      <c r="HT54" t="e">
        <f>AND(#REF!,"AAAAAG/6++M=")</f>
        <v>#REF!</v>
      </c>
      <c r="HU54" t="e">
        <f>AND(#REF!,"AAAAAG/6++Q=")</f>
        <v>#REF!</v>
      </c>
      <c r="HV54" t="e">
        <f>AND(#REF!,"AAAAAG/6++U=")</f>
        <v>#REF!</v>
      </c>
      <c r="HW54" t="e">
        <f>AND(#REF!,"AAAAAG/6++Y=")</f>
        <v>#REF!</v>
      </c>
      <c r="HX54" t="e">
        <f>AND(#REF!,"AAAAAG/6++c=")</f>
        <v>#REF!</v>
      </c>
      <c r="HY54" t="e">
        <f>AND(#REF!,"AAAAAG/6++g=")</f>
        <v>#REF!</v>
      </c>
      <c r="HZ54" t="e">
        <f>AND(#REF!,"AAAAAG/6++k=")</f>
        <v>#REF!</v>
      </c>
      <c r="IA54" t="e">
        <f>AND(#REF!,"AAAAAG/6++o=")</f>
        <v>#REF!</v>
      </c>
      <c r="IB54" t="e">
        <f>AND(#REF!,"AAAAAG/6++s=")</f>
        <v>#REF!</v>
      </c>
      <c r="IC54" t="e">
        <f>AND(#REF!,"AAAAAG/6++w=")</f>
        <v>#REF!</v>
      </c>
      <c r="ID54" t="e">
        <f>AND(#REF!,"AAAAAG/6++0=")</f>
        <v>#REF!</v>
      </c>
      <c r="IE54" t="e">
        <f>AND(#REF!,"AAAAAG/6++4=")</f>
        <v>#REF!</v>
      </c>
      <c r="IF54" t="e">
        <f>AND(#REF!,"AAAAAG/6++8=")</f>
        <v>#REF!</v>
      </c>
      <c r="IG54" t="e">
        <f>AND(#REF!,"AAAAAG/6+/A=")</f>
        <v>#REF!</v>
      </c>
      <c r="IH54" t="e">
        <f>AND(#REF!,"AAAAAG/6+/E=")</f>
        <v>#REF!</v>
      </c>
      <c r="II54" t="e">
        <f>AND(#REF!,"AAAAAG/6+/I=")</f>
        <v>#REF!</v>
      </c>
      <c r="IJ54" t="e">
        <f>AND(#REF!,"AAAAAG/6+/M=")</f>
        <v>#REF!</v>
      </c>
      <c r="IK54" t="e">
        <f>AND(#REF!,"AAAAAG/6+/Q=")</f>
        <v>#REF!</v>
      </c>
      <c r="IL54" t="e">
        <f>AND(#REF!,"AAAAAG/6+/U=")</f>
        <v>#REF!</v>
      </c>
      <c r="IM54" t="e">
        <f>AND(#REF!,"AAAAAG/6+/Y=")</f>
        <v>#REF!</v>
      </c>
      <c r="IN54" t="e">
        <f>AND(#REF!,"AAAAAG/6+/c=")</f>
        <v>#REF!</v>
      </c>
      <c r="IO54" t="e">
        <f>AND(#REF!,"AAAAAG/6+/g=")</f>
        <v>#REF!</v>
      </c>
      <c r="IP54" t="e">
        <f>AND(#REF!,"AAAAAG/6+/k=")</f>
        <v>#REF!</v>
      </c>
      <c r="IQ54" t="e">
        <f>AND(#REF!,"AAAAAG/6+/o=")</f>
        <v>#REF!</v>
      </c>
      <c r="IR54" t="e">
        <f>AND(#REF!,"AAAAAG/6+/s=")</f>
        <v>#REF!</v>
      </c>
      <c r="IS54" t="e">
        <f>AND(#REF!,"AAAAAG/6+/w=")</f>
        <v>#REF!</v>
      </c>
      <c r="IT54" t="e">
        <f>AND(#REF!,"AAAAAG/6+/0=")</f>
        <v>#REF!</v>
      </c>
      <c r="IU54" t="e">
        <f>AND(#REF!,"AAAAAG/6+/4=")</f>
        <v>#REF!</v>
      </c>
      <c r="IV54" t="e">
        <f>AND(#REF!,"AAAAAG/6+/8=")</f>
        <v>#REF!</v>
      </c>
    </row>
    <row r="55" spans="1:256" ht="15">
      <c r="A55" t="e">
        <f>AND(#REF!,"AAAAAGf/2gA=")</f>
        <v>#REF!</v>
      </c>
      <c r="B55" t="e">
        <f>AND(#REF!,"AAAAAGf/2gE=")</f>
        <v>#REF!</v>
      </c>
      <c r="C55" t="e">
        <f>AND(#REF!,"AAAAAGf/2gI=")</f>
        <v>#REF!</v>
      </c>
      <c r="D55" t="e">
        <f>AND(#REF!,"AAAAAGf/2gM=")</f>
        <v>#REF!</v>
      </c>
      <c r="E55" t="e">
        <f>AND(#REF!,"AAAAAGf/2gQ=")</f>
        <v>#REF!</v>
      </c>
      <c r="F55" t="e">
        <f>AND(#REF!,"AAAAAGf/2gU=")</f>
        <v>#REF!</v>
      </c>
      <c r="G55" t="e">
        <f>AND(#REF!,"AAAAAGf/2gY=")</f>
        <v>#REF!</v>
      </c>
      <c r="H55" t="e">
        <f>AND(#REF!,"AAAAAGf/2gc=")</f>
        <v>#REF!</v>
      </c>
      <c r="I55" t="e">
        <f>AND(#REF!,"AAAAAGf/2gg=")</f>
        <v>#REF!</v>
      </c>
      <c r="J55" t="e">
        <f>AND(#REF!,"AAAAAGf/2gk=")</f>
        <v>#REF!</v>
      </c>
      <c r="K55" t="e">
        <f>AND(#REF!,"AAAAAGf/2go=")</f>
        <v>#REF!</v>
      </c>
      <c r="L55" t="e">
        <f>AND(#REF!,"AAAAAGf/2gs=")</f>
        <v>#REF!</v>
      </c>
      <c r="M55" t="e">
        <f>AND(#REF!,"AAAAAGf/2gw=")</f>
        <v>#REF!</v>
      </c>
      <c r="N55" t="e">
        <f>AND(#REF!,"AAAAAGf/2g0=")</f>
        <v>#REF!</v>
      </c>
      <c r="O55" t="e">
        <f>AND(#REF!,"AAAAAGf/2g4=")</f>
        <v>#REF!</v>
      </c>
      <c r="P55" t="e">
        <f>AND(#REF!,"AAAAAGf/2g8=")</f>
        <v>#REF!</v>
      </c>
      <c r="Q55" t="e">
        <f>AND(#REF!,"AAAAAGf/2hA=")</f>
        <v>#REF!</v>
      </c>
      <c r="R55" t="e">
        <f>AND(#REF!,"AAAAAGf/2hE=")</f>
        <v>#REF!</v>
      </c>
      <c r="S55" t="e">
        <f>AND(#REF!,"AAAAAGf/2hI=")</f>
        <v>#REF!</v>
      </c>
      <c r="T55" t="e">
        <f>AND(#REF!,"AAAAAGf/2hM=")</f>
        <v>#REF!</v>
      </c>
      <c r="U55" t="e">
        <f>AND(#REF!,"AAAAAGf/2hQ=")</f>
        <v>#REF!</v>
      </c>
      <c r="V55" t="e">
        <f>AND(#REF!,"AAAAAGf/2hU=")</f>
        <v>#REF!</v>
      </c>
      <c r="W55" t="e">
        <f>AND(#REF!,"AAAAAGf/2hY=")</f>
        <v>#REF!</v>
      </c>
      <c r="X55" t="e">
        <f>AND(#REF!,"AAAAAGf/2hc=")</f>
        <v>#REF!</v>
      </c>
      <c r="Y55" t="e">
        <f>AND(#REF!,"AAAAAGf/2hg=")</f>
        <v>#REF!</v>
      </c>
      <c r="Z55" t="e">
        <f>AND(#REF!,"AAAAAGf/2hk=")</f>
        <v>#REF!</v>
      </c>
      <c r="AA55" t="e">
        <f>AND(#REF!,"AAAAAGf/2ho=")</f>
        <v>#REF!</v>
      </c>
      <c r="AB55" t="e">
        <f>AND(#REF!,"AAAAAGf/2hs=")</f>
        <v>#REF!</v>
      </c>
      <c r="AC55" t="e">
        <f>AND(#REF!,"AAAAAGf/2hw=")</f>
        <v>#REF!</v>
      </c>
      <c r="AD55" t="e">
        <f>AND(#REF!,"AAAAAGf/2h0=")</f>
        <v>#REF!</v>
      </c>
      <c r="AE55" t="e">
        <f>AND(#REF!,"AAAAAGf/2h4=")</f>
        <v>#REF!</v>
      </c>
      <c r="AF55" t="e">
        <f>AND(#REF!,"AAAAAGf/2h8=")</f>
        <v>#REF!</v>
      </c>
      <c r="AG55" t="e">
        <f>AND(#REF!,"AAAAAGf/2iA=")</f>
        <v>#REF!</v>
      </c>
      <c r="AH55" t="e">
        <f>AND(#REF!,"AAAAAGf/2iE=")</f>
        <v>#REF!</v>
      </c>
      <c r="AI55" t="e">
        <f>AND(#REF!,"AAAAAGf/2iI=")</f>
        <v>#REF!</v>
      </c>
      <c r="AJ55" t="e">
        <f>AND(#REF!,"AAAAAGf/2iM=")</f>
        <v>#REF!</v>
      </c>
      <c r="AK55" t="e">
        <f>AND(#REF!,"AAAAAGf/2iQ=")</f>
        <v>#REF!</v>
      </c>
      <c r="AL55" t="e">
        <f>AND(#REF!,"AAAAAGf/2iU=")</f>
        <v>#REF!</v>
      </c>
      <c r="AM55" t="e">
        <f>AND(#REF!,"AAAAAGf/2iY=")</f>
        <v>#REF!</v>
      </c>
      <c r="AN55" t="e">
        <f>AND(#REF!,"AAAAAGf/2ic=")</f>
        <v>#REF!</v>
      </c>
      <c r="AO55" t="e">
        <f>AND(#REF!,"AAAAAGf/2ig=")</f>
        <v>#REF!</v>
      </c>
      <c r="AP55" t="e">
        <f>AND(#REF!,"AAAAAGf/2ik=")</f>
        <v>#REF!</v>
      </c>
      <c r="AQ55" t="e">
        <f>AND(#REF!,"AAAAAGf/2io=")</f>
        <v>#REF!</v>
      </c>
      <c r="AR55" t="e">
        <f>AND(#REF!,"AAAAAGf/2is=")</f>
        <v>#REF!</v>
      </c>
      <c r="AS55" t="e">
        <f>AND(#REF!,"AAAAAGf/2iw=")</f>
        <v>#REF!</v>
      </c>
      <c r="AT55" t="e">
        <f>AND(#REF!,"AAAAAGf/2i0=")</f>
        <v>#REF!</v>
      </c>
      <c r="AU55" t="e">
        <f>AND(#REF!,"AAAAAGf/2i4=")</f>
        <v>#REF!</v>
      </c>
      <c r="AV55" t="e">
        <f>IF(#REF!,"AAAAAGf/2i8=",0)</f>
        <v>#REF!</v>
      </c>
      <c r="AW55" t="e">
        <f>AND(#REF!,"AAAAAGf/2jA=")</f>
        <v>#REF!</v>
      </c>
      <c r="AX55" t="e">
        <f>AND(#REF!,"AAAAAGf/2jE=")</f>
        <v>#REF!</v>
      </c>
      <c r="AY55" t="e">
        <f>AND(#REF!,"AAAAAGf/2jI=")</f>
        <v>#REF!</v>
      </c>
      <c r="AZ55" t="e">
        <f>AND(#REF!,"AAAAAGf/2jM=")</f>
        <v>#REF!</v>
      </c>
      <c r="BA55" t="e">
        <f>AND(#REF!,"AAAAAGf/2jQ=")</f>
        <v>#REF!</v>
      </c>
      <c r="BB55" t="e">
        <f>AND(#REF!,"AAAAAGf/2jU=")</f>
        <v>#REF!</v>
      </c>
      <c r="BC55" t="e">
        <f>AND(#REF!,"AAAAAGf/2jY=")</f>
        <v>#REF!</v>
      </c>
      <c r="BD55" t="e">
        <f>AND(#REF!,"AAAAAGf/2jc=")</f>
        <v>#REF!</v>
      </c>
      <c r="BE55" t="e">
        <f>AND(#REF!,"AAAAAGf/2jg=")</f>
        <v>#REF!</v>
      </c>
      <c r="BF55" t="e">
        <f>AND(#REF!,"AAAAAGf/2jk=")</f>
        <v>#REF!</v>
      </c>
      <c r="BG55" t="e">
        <f>AND(#REF!,"AAAAAGf/2jo=")</f>
        <v>#REF!</v>
      </c>
      <c r="BH55" t="e">
        <f>AND(#REF!,"AAAAAGf/2js=")</f>
        <v>#REF!</v>
      </c>
      <c r="BI55" t="e">
        <f>AND(#REF!,"AAAAAGf/2jw=")</f>
        <v>#REF!</v>
      </c>
      <c r="BJ55" t="e">
        <f>AND(#REF!,"AAAAAGf/2j0=")</f>
        <v>#REF!</v>
      </c>
      <c r="BK55" t="e">
        <f>AND(#REF!,"AAAAAGf/2j4=")</f>
        <v>#REF!</v>
      </c>
      <c r="BL55" t="e">
        <f>AND(#REF!,"AAAAAGf/2j8=")</f>
        <v>#REF!</v>
      </c>
      <c r="BM55" t="e">
        <f>AND(#REF!,"AAAAAGf/2kA=")</f>
        <v>#REF!</v>
      </c>
      <c r="BN55" t="e">
        <f>AND(#REF!,"AAAAAGf/2kE=")</f>
        <v>#REF!</v>
      </c>
      <c r="BO55" t="e">
        <f>AND(#REF!,"AAAAAGf/2kI=")</f>
        <v>#REF!</v>
      </c>
      <c r="BP55" t="e">
        <f>AND(#REF!,"AAAAAGf/2kM=")</f>
        <v>#REF!</v>
      </c>
      <c r="BQ55" t="e">
        <f>AND(#REF!,"AAAAAGf/2kQ=")</f>
        <v>#REF!</v>
      </c>
      <c r="BR55" t="e">
        <f>AND(#REF!,"AAAAAGf/2kU=")</f>
        <v>#REF!</v>
      </c>
      <c r="BS55" t="e">
        <f>AND(#REF!,"AAAAAGf/2kY=")</f>
        <v>#REF!</v>
      </c>
      <c r="BT55" t="e">
        <f>AND(#REF!,"AAAAAGf/2kc=")</f>
        <v>#REF!</v>
      </c>
      <c r="BU55" t="e">
        <f>AND(#REF!,"AAAAAGf/2kg=")</f>
        <v>#REF!</v>
      </c>
      <c r="BV55" t="e">
        <f>AND(#REF!,"AAAAAGf/2kk=")</f>
        <v>#REF!</v>
      </c>
      <c r="BW55" t="e">
        <f>AND(#REF!,"AAAAAGf/2ko=")</f>
        <v>#REF!</v>
      </c>
      <c r="BX55" t="e">
        <f>AND(#REF!,"AAAAAGf/2ks=")</f>
        <v>#REF!</v>
      </c>
      <c r="BY55" t="e">
        <f>AND(#REF!,"AAAAAGf/2kw=")</f>
        <v>#REF!</v>
      </c>
      <c r="BZ55" t="e">
        <f>AND(#REF!,"AAAAAGf/2k0=")</f>
        <v>#REF!</v>
      </c>
      <c r="CA55" t="e">
        <f>AND(#REF!,"AAAAAGf/2k4=")</f>
        <v>#REF!</v>
      </c>
      <c r="CB55" t="e">
        <f>AND(#REF!,"AAAAAGf/2k8=")</f>
        <v>#REF!</v>
      </c>
      <c r="CC55" t="e">
        <f>AND(#REF!,"AAAAAGf/2lA=")</f>
        <v>#REF!</v>
      </c>
      <c r="CD55" t="e">
        <f>AND(#REF!,"AAAAAGf/2lE=")</f>
        <v>#REF!</v>
      </c>
      <c r="CE55" t="e">
        <f>AND(#REF!,"AAAAAGf/2lI=")</f>
        <v>#REF!</v>
      </c>
      <c r="CF55" t="e">
        <f>AND(#REF!,"AAAAAGf/2lM=")</f>
        <v>#REF!</v>
      </c>
      <c r="CG55" t="e">
        <f>AND(#REF!,"AAAAAGf/2lQ=")</f>
        <v>#REF!</v>
      </c>
      <c r="CH55" t="e">
        <f>AND(#REF!,"AAAAAGf/2lU=")</f>
        <v>#REF!</v>
      </c>
      <c r="CI55" t="e">
        <f>AND(#REF!,"AAAAAGf/2lY=")</f>
        <v>#REF!</v>
      </c>
      <c r="CJ55" t="e">
        <f>AND(#REF!,"AAAAAGf/2lc=")</f>
        <v>#REF!</v>
      </c>
      <c r="CK55" t="e">
        <f>AND(#REF!,"AAAAAGf/2lg=")</f>
        <v>#REF!</v>
      </c>
      <c r="CL55" t="e">
        <f>AND(#REF!,"AAAAAGf/2lk=")</f>
        <v>#REF!</v>
      </c>
      <c r="CM55" t="e">
        <f>AND(#REF!,"AAAAAGf/2lo=")</f>
        <v>#REF!</v>
      </c>
      <c r="CN55" t="e">
        <f>AND(#REF!,"AAAAAGf/2ls=")</f>
        <v>#REF!</v>
      </c>
      <c r="CO55" t="e">
        <f>AND(#REF!,"AAAAAGf/2lw=")</f>
        <v>#REF!</v>
      </c>
      <c r="CP55" t="e">
        <f>AND(#REF!,"AAAAAGf/2l0=")</f>
        <v>#REF!</v>
      </c>
      <c r="CQ55" t="e">
        <f>AND(#REF!,"AAAAAGf/2l4=")</f>
        <v>#REF!</v>
      </c>
      <c r="CR55" t="e">
        <f>AND(#REF!,"AAAAAGf/2l8=")</f>
        <v>#REF!</v>
      </c>
      <c r="CS55" t="e">
        <f>AND(#REF!,"AAAAAGf/2mA=")</f>
        <v>#REF!</v>
      </c>
      <c r="CT55" t="e">
        <f>AND(#REF!,"AAAAAGf/2mE=")</f>
        <v>#REF!</v>
      </c>
      <c r="CU55" t="e">
        <f>AND(#REF!,"AAAAAGf/2mI=")</f>
        <v>#REF!</v>
      </c>
      <c r="CV55" t="e">
        <f>AND(#REF!,"AAAAAGf/2mM=")</f>
        <v>#REF!</v>
      </c>
      <c r="CW55" t="e">
        <f>AND(#REF!,"AAAAAGf/2mQ=")</f>
        <v>#REF!</v>
      </c>
      <c r="CX55" t="e">
        <f>AND(#REF!,"AAAAAGf/2mU=")</f>
        <v>#REF!</v>
      </c>
      <c r="CY55" t="e">
        <f>AND(#REF!,"AAAAAGf/2mY=")</f>
        <v>#REF!</v>
      </c>
      <c r="CZ55" t="e">
        <f>AND(#REF!,"AAAAAGf/2mc=")</f>
        <v>#REF!</v>
      </c>
      <c r="DA55" t="e">
        <f>AND(#REF!,"AAAAAGf/2mg=")</f>
        <v>#REF!</v>
      </c>
      <c r="DB55" t="e">
        <f>AND(#REF!,"AAAAAGf/2mk=")</f>
        <v>#REF!</v>
      </c>
      <c r="DC55" t="e">
        <f>AND(#REF!,"AAAAAGf/2mo=")</f>
        <v>#REF!</v>
      </c>
      <c r="DD55" t="e">
        <f>AND(#REF!,"AAAAAGf/2ms=")</f>
        <v>#REF!</v>
      </c>
      <c r="DE55" t="e">
        <f>AND(#REF!,"AAAAAGf/2mw=")</f>
        <v>#REF!</v>
      </c>
      <c r="DF55" t="e">
        <f>AND(#REF!,"AAAAAGf/2m0=")</f>
        <v>#REF!</v>
      </c>
      <c r="DG55" t="e">
        <f>AND(#REF!,"AAAAAGf/2m4=")</f>
        <v>#REF!</v>
      </c>
      <c r="DH55" t="e">
        <f>AND(#REF!,"AAAAAGf/2m8=")</f>
        <v>#REF!</v>
      </c>
      <c r="DI55" t="e">
        <f>AND(#REF!,"AAAAAGf/2nA=")</f>
        <v>#REF!</v>
      </c>
      <c r="DJ55" t="e">
        <f>AND(#REF!,"AAAAAGf/2nE=")</f>
        <v>#REF!</v>
      </c>
      <c r="DK55" t="e">
        <f>AND(#REF!,"AAAAAGf/2nI=")</f>
        <v>#REF!</v>
      </c>
      <c r="DL55" t="e">
        <f>AND(#REF!,"AAAAAGf/2nM=")</f>
        <v>#REF!</v>
      </c>
      <c r="DM55" t="e">
        <f>AND(#REF!,"AAAAAGf/2nQ=")</f>
        <v>#REF!</v>
      </c>
      <c r="DN55" t="e">
        <f>AND(#REF!,"AAAAAGf/2nU=")</f>
        <v>#REF!</v>
      </c>
      <c r="DO55" t="e">
        <f>AND(#REF!,"AAAAAGf/2nY=")</f>
        <v>#REF!</v>
      </c>
      <c r="DP55" t="e">
        <f>AND(#REF!,"AAAAAGf/2nc=")</f>
        <v>#REF!</v>
      </c>
      <c r="DQ55" t="e">
        <f>AND(#REF!,"AAAAAGf/2ng=")</f>
        <v>#REF!</v>
      </c>
      <c r="DR55" t="e">
        <f>AND(#REF!,"AAAAAGf/2nk=")</f>
        <v>#REF!</v>
      </c>
      <c r="DS55" t="e">
        <f>AND(#REF!,"AAAAAGf/2no=")</f>
        <v>#REF!</v>
      </c>
      <c r="DT55" t="e">
        <f>AND(#REF!,"AAAAAGf/2ns=")</f>
        <v>#REF!</v>
      </c>
      <c r="DU55" t="e">
        <f>AND(#REF!,"AAAAAGf/2nw=")</f>
        <v>#REF!</v>
      </c>
      <c r="DV55" t="e">
        <f>AND(#REF!,"AAAAAGf/2n0=")</f>
        <v>#REF!</v>
      </c>
      <c r="DW55" t="e">
        <f>AND(#REF!,"AAAAAGf/2n4=")</f>
        <v>#REF!</v>
      </c>
      <c r="DX55" t="e">
        <f>AND(#REF!,"AAAAAGf/2n8=")</f>
        <v>#REF!</v>
      </c>
      <c r="DY55" t="e">
        <f>AND(#REF!,"AAAAAGf/2oA=")</f>
        <v>#REF!</v>
      </c>
      <c r="DZ55" t="e">
        <f>AND(#REF!,"AAAAAGf/2oE=")</f>
        <v>#REF!</v>
      </c>
      <c r="EA55" t="e">
        <f>AND(#REF!,"AAAAAGf/2oI=")</f>
        <v>#REF!</v>
      </c>
      <c r="EB55" t="e">
        <f>AND(#REF!,"AAAAAGf/2oM=")</f>
        <v>#REF!</v>
      </c>
      <c r="EC55" t="e">
        <f>AND(#REF!,"AAAAAGf/2oQ=")</f>
        <v>#REF!</v>
      </c>
      <c r="ED55" t="e">
        <f>AND(#REF!,"AAAAAGf/2oU=")</f>
        <v>#REF!</v>
      </c>
      <c r="EE55" t="e">
        <f>AND(#REF!,"AAAAAGf/2oY=")</f>
        <v>#REF!</v>
      </c>
      <c r="EF55" t="e">
        <f>AND(#REF!,"AAAAAGf/2oc=")</f>
        <v>#REF!</v>
      </c>
      <c r="EG55" t="e">
        <f>AND(#REF!,"AAAAAGf/2og=")</f>
        <v>#REF!</v>
      </c>
      <c r="EH55" t="e">
        <f>AND(#REF!,"AAAAAGf/2ok=")</f>
        <v>#REF!</v>
      </c>
      <c r="EI55" t="e">
        <f>AND(#REF!,"AAAAAGf/2oo=")</f>
        <v>#REF!</v>
      </c>
      <c r="EJ55" t="e">
        <f>AND(#REF!,"AAAAAGf/2os=")</f>
        <v>#REF!</v>
      </c>
      <c r="EK55" t="e">
        <f>AND(#REF!,"AAAAAGf/2ow=")</f>
        <v>#REF!</v>
      </c>
      <c r="EL55" t="e">
        <f>AND(#REF!,"AAAAAGf/2o0=")</f>
        <v>#REF!</v>
      </c>
      <c r="EM55" t="e">
        <f>AND(#REF!,"AAAAAGf/2o4=")</f>
        <v>#REF!</v>
      </c>
      <c r="EN55" t="e">
        <f>AND(#REF!,"AAAAAGf/2o8=")</f>
        <v>#REF!</v>
      </c>
      <c r="EO55" t="e">
        <f>AND(#REF!,"AAAAAGf/2pA=")</f>
        <v>#REF!</v>
      </c>
      <c r="EP55" t="e">
        <f>AND(#REF!,"AAAAAGf/2pE=")</f>
        <v>#REF!</v>
      </c>
      <c r="EQ55" t="e">
        <f>AND(#REF!,"AAAAAGf/2pI=")</f>
        <v>#REF!</v>
      </c>
      <c r="ER55" t="e">
        <f>AND(#REF!,"AAAAAGf/2pM=")</f>
        <v>#REF!</v>
      </c>
      <c r="ES55" t="e">
        <f>AND(#REF!,"AAAAAGf/2pQ=")</f>
        <v>#REF!</v>
      </c>
      <c r="ET55" t="e">
        <f>AND(#REF!,"AAAAAGf/2pU=")</f>
        <v>#REF!</v>
      </c>
      <c r="EU55" t="e">
        <f>AND(#REF!,"AAAAAGf/2pY=")</f>
        <v>#REF!</v>
      </c>
      <c r="EV55" t="e">
        <f>AND(#REF!,"AAAAAGf/2pc=")</f>
        <v>#REF!</v>
      </c>
      <c r="EW55" t="e">
        <f>AND(#REF!,"AAAAAGf/2pg=")</f>
        <v>#REF!</v>
      </c>
      <c r="EX55" t="e">
        <f>AND(#REF!,"AAAAAGf/2pk=")</f>
        <v>#REF!</v>
      </c>
      <c r="EY55" t="e">
        <f>AND(#REF!,"AAAAAGf/2po=")</f>
        <v>#REF!</v>
      </c>
      <c r="EZ55" t="e">
        <f>AND(#REF!,"AAAAAGf/2ps=")</f>
        <v>#REF!</v>
      </c>
      <c r="FA55" t="e">
        <f>AND(#REF!,"AAAAAGf/2pw=")</f>
        <v>#REF!</v>
      </c>
      <c r="FB55" t="e">
        <f>AND(#REF!,"AAAAAGf/2p0=")</f>
        <v>#REF!</v>
      </c>
      <c r="FC55" t="e">
        <f>AND(#REF!,"AAAAAGf/2p4=")</f>
        <v>#REF!</v>
      </c>
      <c r="FD55" t="e">
        <f>AND(#REF!,"AAAAAGf/2p8=")</f>
        <v>#REF!</v>
      </c>
      <c r="FE55" t="e">
        <f>AND(#REF!,"AAAAAGf/2qA=")</f>
        <v>#REF!</v>
      </c>
      <c r="FF55" t="e">
        <f>AND(#REF!,"AAAAAGf/2qE=")</f>
        <v>#REF!</v>
      </c>
      <c r="FG55" t="e">
        <f>AND(#REF!,"AAAAAGf/2qI=")</f>
        <v>#REF!</v>
      </c>
      <c r="FH55" t="e">
        <f>AND(#REF!,"AAAAAGf/2qM=")</f>
        <v>#REF!</v>
      </c>
      <c r="FI55" t="e">
        <f>AND(#REF!,"AAAAAGf/2qQ=")</f>
        <v>#REF!</v>
      </c>
      <c r="FJ55" t="e">
        <f>AND(#REF!,"AAAAAGf/2qU=")</f>
        <v>#REF!</v>
      </c>
      <c r="FK55" t="e">
        <f>AND(#REF!,"AAAAAGf/2qY=")</f>
        <v>#REF!</v>
      </c>
      <c r="FL55" t="e">
        <f>AND(#REF!,"AAAAAGf/2qc=")</f>
        <v>#REF!</v>
      </c>
      <c r="FM55" t="e">
        <f>AND(#REF!,"AAAAAGf/2qg=")</f>
        <v>#REF!</v>
      </c>
      <c r="FN55" t="e">
        <f>AND(#REF!,"AAAAAGf/2qk=")</f>
        <v>#REF!</v>
      </c>
      <c r="FO55" t="e">
        <f>AND(#REF!,"AAAAAGf/2qo=")</f>
        <v>#REF!</v>
      </c>
      <c r="FP55" t="e">
        <f>AND(#REF!,"AAAAAGf/2qs=")</f>
        <v>#REF!</v>
      </c>
      <c r="FQ55" t="e">
        <f>AND(#REF!,"AAAAAGf/2qw=")</f>
        <v>#REF!</v>
      </c>
      <c r="FR55" t="e">
        <f>AND(#REF!,"AAAAAGf/2q0=")</f>
        <v>#REF!</v>
      </c>
      <c r="FS55" t="e">
        <f>AND(#REF!,"AAAAAGf/2q4=")</f>
        <v>#REF!</v>
      </c>
      <c r="FT55" t="e">
        <f>AND(#REF!,"AAAAAGf/2q8=")</f>
        <v>#REF!</v>
      </c>
      <c r="FU55" t="e">
        <f>AND(#REF!,"AAAAAGf/2rA=")</f>
        <v>#REF!</v>
      </c>
      <c r="FV55" t="e">
        <f>AND(#REF!,"AAAAAGf/2rE=")</f>
        <v>#REF!</v>
      </c>
      <c r="FW55" t="e">
        <f>AND(#REF!,"AAAAAGf/2rI=")</f>
        <v>#REF!</v>
      </c>
      <c r="FX55" t="e">
        <f>AND(#REF!,"AAAAAGf/2rM=")</f>
        <v>#REF!</v>
      </c>
      <c r="FY55" t="e">
        <f>AND(#REF!,"AAAAAGf/2rQ=")</f>
        <v>#REF!</v>
      </c>
      <c r="FZ55" t="e">
        <f>AND(#REF!,"AAAAAGf/2rU=")</f>
        <v>#REF!</v>
      </c>
      <c r="GA55" t="e">
        <f>AND(#REF!,"AAAAAGf/2rY=")</f>
        <v>#REF!</v>
      </c>
      <c r="GB55" t="e">
        <f>IF(#REF!,"AAAAAGf/2rc=",0)</f>
        <v>#REF!</v>
      </c>
      <c r="GC55" t="e">
        <f>AND(#REF!,"AAAAAGf/2rg=")</f>
        <v>#REF!</v>
      </c>
      <c r="GD55" t="e">
        <f>AND(#REF!,"AAAAAGf/2rk=")</f>
        <v>#REF!</v>
      </c>
      <c r="GE55" t="e">
        <f>AND(#REF!,"AAAAAGf/2ro=")</f>
        <v>#REF!</v>
      </c>
      <c r="GF55" t="e">
        <f>AND(#REF!,"AAAAAGf/2rs=")</f>
        <v>#REF!</v>
      </c>
      <c r="GG55" t="e">
        <f>AND(#REF!,"AAAAAGf/2rw=")</f>
        <v>#REF!</v>
      </c>
      <c r="GH55" t="e">
        <f>AND(#REF!,"AAAAAGf/2r0=")</f>
        <v>#REF!</v>
      </c>
      <c r="GI55" t="e">
        <f>AND(#REF!,"AAAAAGf/2r4=")</f>
        <v>#REF!</v>
      </c>
      <c r="GJ55" t="e">
        <f>AND(#REF!,"AAAAAGf/2r8=")</f>
        <v>#REF!</v>
      </c>
      <c r="GK55" t="e">
        <f>AND(#REF!,"AAAAAGf/2sA=")</f>
        <v>#REF!</v>
      </c>
      <c r="GL55" t="e">
        <f>AND(#REF!,"AAAAAGf/2sE=")</f>
        <v>#REF!</v>
      </c>
      <c r="GM55" t="e">
        <f>AND(#REF!,"AAAAAGf/2sI=")</f>
        <v>#REF!</v>
      </c>
      <c r="GN55" t="e">
        <f>AND(#REF!,"AAAAAGf/2sM=")</f>
        <v>#REF!</v>
      </c>
      <c r="GO55" t="e">
        <f>AND(#REF!,"AAAAAGf/2sQ=")</f>
        <v>#REF!</v>
      </c>
      <c r="GP55" t="e">
        <f>AND(#REF!,"AAAAAGf/2sU=")</f>
        <v>#REF!</v>
      </c>
      <c r="GQ55" t="e">
        <f>AND(#REF!,"AAAAAGf/2sY=")</f>
        <v>#REF!</v>
      </c>
      <c r="GR55" t="e">
        <f>AND(#REF!,"AAAAAGf/2sc=")</f>
        <v>#REF!</v>
      </c>
      <c r="GS55" t="e">
        <f>AND(#REF!,"AAAAAGf/2sg=")</f>
        <v>#REF!</v>
      </c>
      <c r="GT55" t="e">
        <f>AND(#REF!,"AAAAAGf/2sk=")</f>
        <v>#REF!</v>
      </c>
      <c r="GU55" t="e">
        <f>AND(#REF!,"AAAAAGf/2so=")</f>
        <v>#REF!</v>
      </c>
      <c r="GV55" t="e">
        <f>AND(#REF!,"AAAAAGf/2ss=")</f>
        <v>#REF!</v>
      </c>
      <c r="GW55" t="e">
        <f>AND(#REF!,"AAAAAGf/2sw=")</f>
        <v>#REF!</v>
      </c>
      <c r="GX55" t="e">
        <f>AND(#REF!,"AAAAAGf/2s0=")</f>
        <v>#REF!</v>
      </c>
      <c r="GY55" t="e">
        <f>AND(#REF!,"AAAAAGf/2s4=")</f>
        <v>#REF!</v>
      </c>
      <c r="GZ55" t="e">
        <f>AND(#REF!,"AAAAAGf/2s8=")</f>
        <v>#REF!</v>
      </c>
      <c r="HA55" t="e">
        <f>AND(#REF!,"AAAAAGf/2tA=")</f>
        <v>#REF!</v>
      </c>
      <c r="HB55" t="e">
        <f>AND(#REF!,"AAAAAGf/2tE=")</f>
        <v>#REF!</v>
      </c>
      <c r="HC55" t="e">
        <f>AND(#REF!,"AAAAAGf/2tI=")</f>
        <v>#REF!</v>
      </c>
      <c r="HD55" t="e">
        <f>AND(#REF!,"AAAAAGf/2tM=")</f>
        <v>#REF!</v>
      </c>
      <c r="HE55" t="e">
        <f>AND(#REF!,"AAAAAGf/2tQ=")</f>
        <v>#REF!</v>
      </c>
      <c r="HF55" t="e">
        <f>AND(#REF!,"AAAAAGf/2tU=")</f>
        <v>#REF!</v>
      </c>
      <c r="HG55" t="e">
        <f>AND(#REF!,"AAAAAGf/2tY=")</f>
        <v>#REF!</v>
      </c>
      <c r="HH55" t="e">
        <f>AND(#REF!,"AAAAAGf/2tc=")</f>
        <v>#REF!</v>
      </c>
      <c r="HI55" t="e">
        <f>AND(#REF!,"AAAAAGf/2tg=")</f>
        <v>#REF!</v>
      </c>
      <c r="HJ55" t="e">
        <f>AND(#REF!,"AAAAAGf/2tk=")</f>
        <v>#REF!</v>
      </c>
      <c r="HK55" t="e">
        <f>AND(#REF!,"AAAAAGf/2to=")</f>
        <v>#REF!</v>
      </c>
      <c r="HL55" t="e">
        <f>AND(#REF!,"AAAAAGf/2ts=")</f>
        <v>#REF!</v>
      </c>
      <c r="HM55" t="e">
        <f>AND(#REF!,"AAAAAGf/2tw=")</f>
        <v>#REF!</v>
      </c>
      <c r="HN55" t="e">
        <f>AND(#REF!,"AAAAAGf/2t0=")</f>
        <v>#REF!</v>
      </c>
      <c r="HO55" t="e">
        <f>AND(#REF!,"AAAAAGf/2t4=")</f>
        <v>#REF!</v>
      </c>
      <c r="HP55" t="e">
        <f>AND(#REF!,"AAAAAGf/2t8=")</f>
        <v>#REF!</v>
      </c>
      <c r="HQ55" t="e">
        <f>AND(#REF!,"AAAAAGf/2uA=")</f>
        <v>#REF!</v>
      </c>
      <c r="HR55" t="e">
        <f>AND(#REF!,"AAAAAGf/2uE=")</f>
        <v>#REF!</v>
      </c>
      <c r="HS55" t="e">
        <f>AND(#REF!,"AAAAAGf/2uI=")</f>
        <v>#REF!</v>
      </c>
      <c r="HT55" t="e">
        <f>AND(#REF!,"AAAAAGf/2uM=")</f>
        <v>#REF!</v>
      </c>
      <c r="HU55" t="e">
        <f>AND(#REF!,"AAAAAGf/2uQ=")</f>
        <v>#REF!</v>
      </c>
      <c r="HV55" t="e">
        <f>AND(#REF!,"AAAAAGf/2uU=")</f>
        <v>#REF!</v>
      </c>
      <c r="HW55" t="e">
        <f>AND(#REF!,"AAAAAGf/2uY=")</f>
        <v>#REF!</v>
      </c>
      <c r="HX55" t="e">
        <f>AND(#REF!,"AAAAAGf/2uc=")</f>
        <v>#REF!</v>
      </c>
      <c r="HY55" t="e">
        <f>AND(#REF!,"AAAAAGf/2ug=")</f>
        <v>#REF!</v>
      </c>
      <c r="HZ55" t="e">
        <f>AND(#REF!,"AAAAAGf/2uk=")</f>
        <v>#REF!</v>
      </c>
      <c r="IA55" t="e">
        <f>AND(#REF!,"AAAAAGf/2uo=")</f>
        <v>#REF!</v>
      </c>
      <c r="IB55" t="e">
        <f>AND(#REF!,"AAAAAGf/2us=")</f>
        <v>#REF!</v>
      </c>
      <c r="IC55" t="e">
        <f>AND(#REF!,"AAAAAGf/2uw=")</f>
        <v>#REF!</v>
      </c>
      <c r="ID55" t="e">
        <f>AND(#REF!,"AAAAAGf/2u0=")</f>
        <v>#REF!</v>
      </c>
      <c r="IE55" t="e">
        <f>AND(#REF!,"AAAAAGf/2u4=")</f>
        <v>#REF!</v>
      </c>
      <c r="IF55" t="e">
        <f>AND(#REF!,"AAAAAGf/2u8=")</f>
        <v>#REF!</v>
      </c>
      <c r="IG55" t="e">
        <f>AND(#REF!,"AAAAAGf/2vA=")</f>
        <v>#REF!</v>
      </c>
      <c r="IH55" t="e">
        <f>AND(#REF!,"AAAAAGf/2vE=")</f>
        <v>#REF!</v>
      </c>
      <c r="II55" t="e">
        <f>AND(#REF!,"AAAAAGf/2vI=")</f>
        <v>#REF!</v>
      </c>
      <c r="IJ55" t="e">
        <f>AND(#REF!,"AAAAAGf/2vM=")</f>
        <v>#REF!</v>
      </c>
      <c r="IK55" t="e">
        <f>AND(#REF!,"AAAAAGf/2vQ=")</f>
        <v>#REF!</v>
      </c>
      <c r="IL55" t="e">
        <f>AND(#REF!,"AAAAAGf/2vU=")</f>
        <v>#REF!</v>
      </c>
      <c r="IM55" t="e">
        <f>AND(#REF!,"AAAAAGf/2vY=")</f>
        <v>#REF!</v>
      </c>
      <c r="IN55" t="e">
        <f>AND(#REF!,"AAAAAGf/2vc=")</f>
        <v>#REF!</v>
      </c>
      <c r="IO55" t="e">
        <f>AND(#REF!,"AAAAAGf/2vg=")</f>
        <v>#REF!</v>
      </c>
      <c r="IP55" t="e">
        <f>AND(#REF!,"AAAAAGf/2vk=")</f>
        <v>#REF!</v>
      </c>
      <c r="IQ55" t="e">
        <f>AND(#REF!,"AAAAAGf/2vo=")</f>
        <v>#REF!</v>
      </c>
      <c r="IR55" t="e">
        <f>AND(#REF!,"AAAAAGf/2vs=")</f>
        <v>#REF!</v>
      </c>
      <c r="IS55" t="e">
        <f>AND(#REF!,"AAAAAGf/2vw=")</f>
        <v>#REF!</v>
      </c>
      <c r="IT55" t="e">
        <f>AND(#REF!,"AAAAAGf/2v0=")</f>
        <v>#REF!</v>
      </c>
      <c r="IU55" t="e">
        <f>AND(#REF!,"AAAAAGf/2v4=")</f>
        <v>#REF!</v>
      </c>
      <c r="IV55" t="e">
        <f>AND(#REF!,"AAAAAGf/2v8=")</f>
        <v>#REF!</v>
      </c>
    </row>
    <row r="56" spans="1:200" ht="15">
      <c r="A56" t="e">
        <f>AND(#REF!,"AAAAAAR/iwA=")</f>
        <v>#REF!</v>
      </c>
      <c r="B56" t="e">
        <f>AND(#REF!,"AAAAAAR/iwE=")</f>
        <v>#REF!</v>
      </c>
      <c r="C56" t="e">
        <f>AND(#REF!,"AAAAAAR/iwI=")</f>
        <v>#REF!</v>
      </c>
      <c r="D56" t="e">
        <f>AND(#REF!,"AAAAAAR/iwM=")</f>
        <v>#REF!</v>
      </c>
      <c r="E56" t="e">
        <f>AND(#REF!,"AAAAAAR/iwQ=")</f>
        <v>#REF!</v>
      </c>
      <c r="F56" t="e">
        <f>AND(#REF!,"AAAAAAR/iwU=")</f>
        <v>#REF!</v>
      </c>
      <c r="G56" t="e">
        <f>AND(#REF!,"AAAAAAR/iwY=")</f>
        <v>#REF!</v>
      </c>
      <c r="H56" t="e">
        <f>AND(#REF!,"AAAAAAR/iwc=")</f>
        <v>#REF!</v>
      </c>
      <c r="I56" t="e">
        <f>AND(#REF!,"AAAAAAR/iwg=")</f>
        <v>#REF!</v>
      </c>
      <c r="J56" t="e">
        <f>AND(#REF!,"AAAAAAR/iwk=")</f>
        <v>#REF!</v>
      </c>
      <c r="K56" t="e">
        <f>AND(#REF!,"AAAAAAR/iwo=")</f>
        <v>#REF!</v>
      </c>
      <c r="L56" t="e">
        <f>AND(#REF!,"AAAAAAR/iws=")</f>
        <v>#REF!</v>
      </c>
      <c r="M56" t="e">
        <f>AND(#REF!,"AAAAAAR/iww=")</f>
        <v>#REF!</v>
      </c>
      <c r="N56" t="e">
        <f>AND(#REF!,"AAAAAAR/iw0=")</f>
        <v>#REF!</v>
      </c>
      <c r="O56" t="e">
        <f>AND(#REF!,"AAAAAAR/iw4=")</f>
        <v>#REF!</v>
      </c>
      <c r="P56" t="e">
        <f>AND(#REF!,"AAAAAAR/iw8=")</f>
        <v>#REF!</v>
      </c>
      <c r="Q56" t="e">
        <f>AND(#REF!,"AAAAAAR/ixA=")</f>
        <v>#REF!</v>
      </c>
      <c r="R56" t="e">
        <f>AND(#REF!,"AAAAAAR/ixE=")</f>
        <v>#REF!</v>
      </c>
      <c r="S56" t="e">
        <f>AND(#REF!,"AAAAAAR/ixI=")</f>
        <v>#REF!</v>
      </c>
      <c r="T56" t="e">
        <f>AND(#REF!,"AAAAAAR/ixM=")</f>
        <v>#REF!</v>
      </c>
      <c r="U56" t="e">
        <f>AND(#REF!,"AAAAAAR/ixQ=")</f>
        <v>#REF!</v>
      </c>
      <c r="V56" t="e">
        <f>AND(#REF!,"AAAAAAR/ixU=")</f>
        <v>#REF!</v>
      </c>
      <c r="W56" t="e">
        <f>AND(#REF!,"AAAAAAR/ixY=")</f>
        <v>#REF!</v>
      </c>
      <c r="X56" t="e">
        <f>AND(#REF!,"AAAAAAR/ixc=")</f>
        <v>#REF!</v>
      </c>
      <c r="Y56" t="e">
        <f>AND(#REF!,"AAAAAAR/ixg=")</f>
        <v>#REF!</v>
      </c>
      <c r="Z56" t="e">
        <f>AND(#REF!,"AAAAAAR/ixk=")</f>
        <v>#REF!</v>
      </c>
      <c r="AA56" t="e">
        <f>AND(#REF!,"AAAAAAR/ixo=")</f>
        <v>#REF!</v>
      </c>
      <c r="AB56" t="e">
        <f>AND(#REF!,"AAAAAAR/ixs=")</f>
        <v>#REF!</v>
      </c>
      <c r="AC56" t="e">
        <f>AND(#REF!,"AAAAAAR/ixw=")</f>
        <v>#REF!</v>
      </c>
      <c r="AD56" t="e">
        <f>AND(#REF!,"AAAAAAR/ix0=")</f>
        <v>#REF!</v>
      </c>
      <c r="AE56" t="e">
        <f>AND(#REF!,"AAAAAAR/ix4=")</f>
        <v>#REF!</v>
      </c>
      <c r="AF56" t="e">
        <f>AND(#REF!,"AAAAAAR/ix8=")</f>
        <v>#REF!</v>
      </c>
      <c r="AG56" t="e">
        <f>AND(#REF!,"AAAAAAR/iyA=")</f>
        <v>#REF!</v>
      </c>
      <c r="AH56" t="e">
        <f>AND(#REF!,"AAAAAAR/iyE=")</f>
        <v>#REF!</v>
      </c>
      <c r="AI56" t="e">
        <f>AND(#REF!,"AAAAAAR/iyI=")</f>
        <v>#REF!</v>
      </c>
      <c r="AJ56" t="e">
        <f>AND(#REF!,"AAAAAAR/iyM=")</f>
        <v>#REF!</v>
      </c>
      <c r="AK56" t="e">
        <f>AND(#REF!,"AAAAAAR/iyQ=")</f>
        <v>#REF!</v>
      </c>
      <c r="AL56" t="e">
        <f>AND(#REF!,"AAAAAAR/iyU=")</f>
        <v>#REF!</v>
      </c>
      <c r="AM56" t="e">
        <f>AND(#REF!,"AAAAAAR/iyY=")</f>
        <v>#REF!</v>
      </c>
      <c r="AN56" t="e">
        <f>AND(#REF!,"AAAAAAR/iyc=")</f>
        <v>#REF!</v>
      </c>
      <c r="AO56" t="e">
        <f>AND(#REF!,"AAAAAAR/iyg=")</f>
        <v>#REF!</v>
      </c>
      <c r="AP56" t="e">
        <f>AND(#REF!,"AAAAAAR/iyk=")</f>
        <v>#REF!</v>
      </c>
      <c r="AQ56" t="e">
        <f>AND(#REF!,"AAAAAAR/iyo=")</f>
        <v>#REF!</v>
      </c>
      <c r="AR56" t="e">
        <f>AND(#REF!,"AAAAAAR/iys=")</f>
        <v>#REF!</v>
      </c>
      <c r="AS56" t="e">
        <f>AND(#REF!,"AAAAAAR/iyw=")</f>
        <v>#REF!</v>
      </c>
      <c r="AT56" t="e">
        <f>AND(#REF!,"AAAAAAR/iy0=")</f>
        <v>#REF!</v>
      </c>
      <c r="AU56" t="e">
        <f>AND(#REF!,"AAAAAAR/iy4=")</f>
        <v>#REF!</v>
      </c>
      <c r="AV56" t="e">
        <f>AND(#REF!,"AAAAAAR/iy8=")</f>
        <v>#REF!</v>
      </c>
      <c r="AW56" t="e">
        <f>AND(#REF!,"AAAAAAR/izA=")</f>
        <v>#REF!</v>
      </c>
      <c r="AX56" t="e">
        <f>AND(#REF!,"AAAAAAR/izE=")</f>
        <v>#REF!</v>
      </c>
      <c r="AY56" t="e">
        <f>AND(#REF!,"AAAAAAR/izI=")</f>
        <v>#REF!</v>
      </c>
      <c r="AZ56" t="e">
        <f>AND(#REF!,"AAAAAAR/izM=")</f>
        <v>#REF!</v>
      </c>
      <c r="BA56" t="e">
        <f>AND(#REF!,"AAAAAAR/izQ=")</f>
        <v>#REF!</v>
      </c>
      <c r="BB56" t="e">
        <f>AND(#REF!,"AAAAAAR/izU=")</f>
        <v>#REF!</v>
      </c>
      <c r="BC56" t="e">
        <f>AND(#REF!,"AAAAAAR/izY=")</f>
        <v>#REF!</v>
      </c>
      <c r="BD56" t="e">
        <f>AND(#REF!,"AAAAAAR/izc=")</f>
        <v>#REF!</v>
      </c>
      <c r="BE56" t="e">
        <f>AND(#REF!,"AAAAAAR/izg=")</f>
        <v>#REF!</v>
      </c>
      <c r="BF56" t="e">
        <f>AND(#REF!,"AAAAAAR/izk=")</f>
        <v>#REF!</v>
      </c>
      <c r="BG56" t="e">
        <f>AND(#REF!,"AAAAAAR/izo=")</f>
        <v>#REF!</v>
      </c>
      <c r="BH56" t="e">
        <f>AND(#REF!,"AAAAAAR/izs=")</f>
        <v>#REF!</v>
      </c>
      <c r="BI56" t="e">
        <f>AND(#REF!,"AAAAAAR/izw=")</f>
        <v>#REF!</v>
      </c>
      <c r="BJ56" t="e">
        <f>AND(#REF!,"AAAAAAR/iz0=")</f>
        <v>#REF!</v>
      </c>
      <c r="BK56" t="e">
        <f>AND(#REF!,"AAAAAAR/iz4=")</f>
        <v>#REF!</v>
      </c>
      <c r="BL56" t="e">
        <f>IF(#REF!,"AAAAAAR/iz8=",0)</f>
        <v>#REF!</v>
      </c>
      <c r="BM56" t="e">
        <f>IF(#REF!,"AAAAAAR/i0A=",0)</f>
        <v>#REF!</v>
      </c>
      <c r="BN56" t="e">
        <f>IF(#REF!,"AAAAAAR/i0E=",0)</f>
        <v>#REF!</v>
      </c>
      <c r="BO56" t="e">
        <f>IF(#REF!,"AAAAAAR/i0I=",0)</f>
        <v>#REF!</v>
      </c>
      <c r="BP56" t="e">
        <f>IF(#REF!,"AAAAAAR/i0M=",0)</f>
        <v>#REF!</v>
      </c>
      <c r="BQ56" t="e">
        <f>IF(#REF!,"AAAAAAR/i0Q=",0)</f>
        <v>#REF!</v>
      </c>
      <c r="BR56" t="e">
        <f>IF(#REF!,"AAAAAAR/i0U=",0)</f>
        <v>#REF!</v>
      </c>
      <c r="BS56" t="e">
        <f>IF(#REF!,"AAAAAAR/i0Y=",0)</f>
        <v>#REF!</v>
      </c>
      <c r="BT56" t="e">
        <f>IF(#REF!,"AAAAAAR/i0c=",0)</f>
        <v>#REF!</v>
      </c>
      <c r="BU56" t="e">
        <f>IF(#REF!,"AAAAAAR/i0g=",0)</f>
        <v>#REF!</v>
      </c>
      <c r="BV56" t="e">
        <f>IF(#REF!,"AAAAAAR/i0k=",0)</f>
        <v>#REF!</v>
      </c>
      <c r="BW56" t="e">
        <f>IF(#REF!,"AAAAAAR/i0o=",0)</f>
        <v>#REF!</v>
      </c>
      <c r="BX56" t="e">
        <f>IF(#REF!,"AAAAAAR/i0s=",0)</f>
        <v>#REF!</v>
      </c>
      <c r="BY56" t="e">
        <f>IF(#REF!,"AAAAAAR/i0w=",0)</f>
        <v>#REF!</v>
      </c>
      <c r="BZ56" t="e">
        <f>IF(#REF!,"AAAAAAR/i00=",0)</f>
        <v>#REF!</v>
      </c>
      <c r="CA56" t="e">
        <f>IF(#REF!,"AAAAAAR/i04=",0)</f>
        <v>#REF!</v>
      </c>
      <c r="CB56" t="e">
        <f>IF(#REF!,"AAAAAAR/i08=",0)</f>
        <v>#REF!</v>
      </c>
      <c r="CC56" t="e">
        <f>IF(#REF!,"AAAAAAR/i1A=",0)</f>
        <v>#REF!</v>
      </c>
      <c r="CD56" t="e">
        <f>IF(#REF!,"AAAAAAR/i1E=",0)</f>
        <v>#REF!</v>
      </c>
      <c r="CE56" t="e">
        <f>IF(#REF!,"AAAAAAR/i1I=",0)</f>
        <v>#REF!</v>
      </c>
      <c r="CF56" t="e">
        <f>IF(#REF!,"AAAAAAR/i1M=",0)</f>
        <v>#REF!</v>
      </c>
      <c r="CG56" t="e">
        <f>IF(#REF!,"AAAAAAR/i1Q=",0)</f>
        <v>#REF!</v>
      </c>
      <c r="CH56" t="e">
        <f>IF(#REF!,"AAAAAAR/i1U=",0)</f>
        <v>#REF!</v>
      </c>
      <c r="CI56" t="e">
        <f>IF(#REF!,"AAAAAAR/i1Y=",0)</f>
        <v>#REF!</v>
      </c>
      <c r="CJ56" t="e">
        <f>IF(#REF!,"AAAAAAR/i1c=",0)</f>
        <v>#REF!</v>
      </c>
      <c r="CK56" t="e">
        <f>IF(#REF!,"AAAAAAR/i1g=",0)</f>
        <v>#REF!</v>
      </c>
      <c r="CL56" t="e">
        <f>IF(#REF!,"AAAAAAR/i1k=",0)</f>
        <v>#REF!</v>
      </c>
      <c r="CM56" t="e">
        <f>IF(#REF!,"AAAAAAR/i1o=",0)</f>
        <v>#REF!</v>
      </c>
      <c r="CN56" t="e">
        <f>IF(#REF!,"AAAAAAR/i1s=",0)</f>
        <v>#REF!</v>
      </c>
      <c r="CO56" t="e">
        <f>IF(#REF!,"AAAAAAR/i1w=",0)</f>
        <v>#REF!</v>
      </c>
      <c r="CP56" t="e">
        <f>IF(#REF!,"AAAAAAR/i10=",0)</f>
        <v>#REF!</v>
      </c>
      <c r="CQ56" t="e">
        <f>IF(#REF!,"AAAAAAR/i14=",0)</f>
        <v>#REF!</v>
      </c>
      <c r="CR56" t="e">
        <f>IF(#REF!,"AAAAAAR/i18=",0)</f>
        <v>#REF!</v>
      </c>
      <c r="CS56" t="e">
        <f>IF(#REF!,"AAAAAAR/i2A=",0)</f>
        <v>#REF!</v>
      </c>
      <c r="CT56" t="e">
        <f>IF(#REF!,"AAAAAAR/i2E=",0)</f>
        <v>#REF!</v>
      </c>
      <c r="CU56" t="e">
        <f>IF(#REF!,"AAAAAAR/i2I=",0)</f>
        <v>#REF!</v>
      </c>
      <c r="CV56" t="e">
        <f>IF(#REF!,"AAAAAAR/i2M=",0)</f>
        <v>#REF!</v>
      </c>
      <c r="CW56" t="e">
        <f>IF(#REF!,"AAAAAAR/i2Q=",0)</f>
        <v>#REF!</v>
      </c>
      <c r="CX56" t="e">
        <f>IF(#REF!,"AAAAAAR/i2U=",0)</f>
        <v>#REF!</v>
      </c>
      <c r="CY56" t="e">
        <f>IF(#REF!,"AAAAAAR/i2Y=",0)</f>
        <v>#REF!</v>
      </c>
      <c r="CZ56" t="e">
        <f>IF(#REF!,"AAAAAAR/i2c=",0)</f>
        <v>#REF!</v>
      </c>
      <c r="DA56" t="e">
        <f>IF(#REF!,"AAAAAAR/i2g=",0)</f>
        <v>#REF!</v>
      </c>
      <c r="DB56" t="e">
        <f>IF(#REF!,"AAAAAAR/i2k=",0)</f>
        <v>#REF!</v>
      </c>
      <c r="DC56" t="e">
        <f>IF(#REF!,"AAAAAAR/i2o=",0)</f>
        <v>#REF!</v>
      </c>
      <c r="DD56" t="e">
        <f>IF(#REF!,"AAAAAAR/i2s=",0)</f>
        <v>#REF!</v>
      </c>
      <c r="DE56" t="e">
        <f>IF(#REF!,"AAAAAAR/i2w=",0)</f>
        <v>#REF!</v>
      </c>
      <c r="DF56" t="e">
        <f>IF(#REF!,"AAAAAAR/i20=",0)</f>
        <v>#REF!</v>
      </c>
      <c r="DG56" t="e">
        <f>IF(#REF!,"AAAAAAR/i24=",0)</f>
        <v>#REF!</v>
      </c>
      <c r="DH56" t="e">
        <f>IF(#REF!,"AAAAAAR/i28=",0)</f>
        <v>#REF!</v>
      </c>
      <c r="DI56" t="e">
        <f>IF(#REF!,"AAAAAAR/i3A=",0)</f>
        <v>#REF!</v>
      </c>
      <c r="DJ56" t="e">
        <f>IF(#REF!,"AAAAAAR/i3E=",0)</f>
        <v>#REF!</v>
      </c>
      <c r="DK56" t="e">
        <f>IF(#REF!,"AAAAAAR/i3I=",0)</f>
        <v>#REF!</v>
      </c>
      <c r="DL56" t="e">
        <f>IF(#REF!,"AAAAAAR/i3M=",0)</f>
        <v>#REF!</v>
      </c>
      <c r="DM56" t="e">
        <f>IF(#REF!,"AAAAAAR/i3Q=",0)</f>
        <v>#REF!</v>
      </c>
      <c r="DN56" t="e">
        <f>IF(#REF!,"AAAAAAR/i3U=",0)</f>
        <v>#REF!</v>
      </c>
      <c r="DO56" t="e">
        <f>IF(#REF!,"AAAAAAR/i3Y=",0)</f>
        <v>#REF!</v>
      </c>
      <c r="DP56" t="e">
        <f>IF(#REF!,"AAAAAAR/i3c=",0)</f>
        <v>#REF!</v>
      </c>
      <c r="DQ56" t="e">
        <f>IF(#REF!,"AAAAAAR/i3g=",0)</f>
        <v>#REF!</v>
      </c>
      <c r="DR56" t="e">
        <f>IF(#REF!,"AAAAAAR/i3k=",0)</f>
        <v>#REF!</v>
      </c>
      <c r="DS56" t="e">
        <f>IF(#REF!,"AAAAAAR/i3o=",0)</f>
        <v>#REF!</v>
      </c>
      <c r="DT56" t="e">
        <f>IF(#REF!,"AAAAAAR/i3s=",0)</f>
        <v>#REF!</v>
      </c>
      <c r="DU56" t="e">
        <f>IF(#REF!,"AAAAAAR/i3w=",0)</f>
        <v>#REF!</v>
      </c>
      <c r="DV56" t="e">
        <f>IF(#REF!,"AAAAAAR/i30=",0)</f>
        <v>#REF!</v>
      </c>
      <c r="DW56" t="e">
        <f>IF(#REF!,"AAAAAAR/i34=",0)</f>
        <v>#REF!</v>
      </c>
      <c r="DX56" t="e">
        <f>IF(#REF!,"AAAAAAR/i38=",0)</f>
        <v>#REF!</v>
      </c>
      <c r="DY56" t="e">
        <f>IF(#REF!,"AAAAAAR/i4A=",0)</f>
        <v>#REF!</v>
      </c>
      <c r="DZ56" t="e">
        <f>IF(#REF!,"AAAAAAR/i4E=",0)</f>
        <v>#REF!</v>
      </c>
      <c r="EA56" t="e">
        <f>IF(#REF!,"AAAAAAR/i4I=",0)</f>
        <v>#REF!</v>
      </c>
      <c r="EB56" t="e">
        <f>IF(#REF!,"AAAAAAR/i4M=",0)</f>
        <v>#REF!</v>
      </c>
      <c r="EC56" t="e">
        <f>IF(#REF!,"AAAAAAR/i4Q=",0)</f>
        <v>#REF!</v>
      </c>
      <c r="ED56" t="e">
        <f>IF(#REF!,"AAAAAAR/i4U=",0)</f>
        <v>#REF!</v>
      </c>
      <c r="EE56" t="e">
        <f>IF(#REF!,"AAAAAAR/i4Y=",0)</f>
        <v>#REF!</v>
      </c>
      <c r="EF56" t="e">
        <f>IF(#REF!,"AAAAAAR/i4c=",0)</f>
        <v>#REF!</v>
      </c>
      <c r="EG56" t="e">
        <f>IF(#REF!,"AAAAAAR/i4g=",0)</f>
        <v>#REF!</v>
      </c>
      <c r="EH56" t="e">
        <f>IF(#REF!,"AAAAAAR/i4k=",0)</f>
        <v>#REF!</v>
      </c>
      <c r="EI56" t="e">
        <f>IF(#REF!,"AAAAAAR/i4o=",0)</f>
        <v>#REF!</v>
      </c>
      <c r="EJ56" t="e">
        <f>IF(#REF!,"AAAAAAR/i4s=",0)</f>
        <v>#REF!</v>
      </c>
      <c r="EK56" t="e">
        <f>IF(#REF!,"AAAAAAR/i4w=",0)</f>
        <v>#REF!</v>
      </c>
      <c r="EL56" t="e">
        <f>IF(#REF!,"AAAAAAR/i40=",0)</f>
        <v>#REF!</v>
      </c>
      <c r="EM56" t="e">
        <f>IF(#REF!,"AAAAAAR/i44=",0)</f>
        <v>#REF!</v>
      </c>
      <c r="EN56" t="e">
        <f>IF(#REF!,"AAAAAAR/i48=",0)</f>
        <v>#REF!</v>
      </c>
      <c r="EO56" t="e">
        <f>IF(#REF!,"AAAAAAR/i5A=",0)</f>
        <v>#REF!</v>
      </c>
      <c r="EP56" t="e">
        <f>IF(#REF!,"AAAAAAR/i5E=",0)</f>
        <v>#REF!</v>
      </c>
      <c r="EQ56" t="e">
        <f>IF(#REF!,"AAAAAAR/i5I=",0)</f>
        <v>#REF!</v>
      </c>
      <c r="ER56" t="e">
        <f>IF(#REF!,"AAAAAAR/i5M=",0)</f>
        <v>#REF!</v>
      </c>
      <c r="ES56" t="e">
        <f>IF(#REF!,"AAAAAAR/i5Q=",0)</f>
        <v>#REF!</v>
      </c>
      <c r="ET56" t="e">
        <f>IF(#REF!,"AAAAAAR/i5U=",0)</f>
        <v>#REF!</v>
      </c>
      <c r="EU56" t="e">
        <f>IF(#REF!,"AAAAAAR/i5Y=",0)</f>
        <v>#REF!</v>
      </c>
      <c r="EV56" t="e">
        <f>IF(#REF!,"AAAAAAR/i5c=",0)</f>
        <v>#REF!</v>
      </c>
      <c r="EW56" t="e">
        <f>IF(#REF!,"AAAAAAR/i5g=",0)</f>
        <v>#REF!</v>
      </c>
      <c r="EX56" t="e">
        <f>IF(#REF!,"AAAAAAR/i5k=",0)</f>
        <v>#REF!</v>
      </c>
      <c r="EY56" t="e">
        <f>IF(#REF!,"AAAAAAR/i5o=",0)</f>
        <v>#REF!</v>
      </c>
      <c r="EZ56" t="e">
        <f>IF(#REF!,"AAAAAAR/i5s=",0)</f>
        <v>#REF!</v>
      </c>
      <c r="FA56" t="e">
        <f>IF(#REF!,"AAAAAAR/i5w=",0)</f>
        <v>#REF!</v>
      </c>
      <c r="FB56" t="e">
        <f>IF(#REF!,"AAAAAAR/i50=",0)</f>
        <v>#REF!</v>
      </c>
      <c r="FC56" t="e">
        <f>IF(#REF!,"AAAAAAR/i54=",0)</f>
        <v>#REF!</v>
      </c>
      <c r="FD56" t="e">
        <f>IF(#REF!,"AAAAAAR/i58=",0)</f>
        <v>#REF!</v>
      </c>
      <c r="FE56" t="e">
        <f>IF(#REF!,"AAAAAAR/i6A=",0)</f>
        <v>#REF!</v>
      </c>
      <c r="FF56" t="e">
        <f>IF(#REF!,"AAAAAAR/i6E=",0)</f>
        <v>#REF!</v>
      </c>
      <c r="FG56" t="e">
        <f>IF(#REF!,"AAAAAAR/i6I=",0)</f>
        <v>#REF!</v>
      </c>
      <c r="FH56" t="e">
        <f>IF(#REF!,"AAAAAAR/i6M=",0)</f>
        <v>#REF!</v>
      </c>
      <c r="FI56" t="e">
        <f>IF(#REF!,"AAAAAAR/i6Q=",0)</f>
        <v>#REF!</v>
      </c>
      <c r="FJ56" t="e">
        <f>IF(#REF!,"AAAAAAR/i6U=",0)</f>
        <v>#REF!</v>
      </c>
      <c r="FK56" t="e">
        <f>IF(#REF!,"AAAAAAR/i6Y=",0)</f>
        <v>#REF!</v>
      </c>
      <c r="FL56" t="e">
        <f>IF(#REF!,"AAAAAAR/i6c=",0)</f>
        <v>#REF!</v>
      </c>
      <c r="FM56" t="e">
        <f>IF(#REF!,"AAAAAAR/i6g=",0)</f>
        <v>#REF!</v>
      </c>
      <c r="FN56" t="e">
        <f>IF(#REF!,"AAAAAAR/i6k=",0)</f>
        <v>#REF!</v>
      </c>
      <c r="FO56" t="e">
        <f>IF(#REF!,"AAAAAAR/i6o=",0)</f>
        <v>#REF!</v>
      </c>
      <c r="FP56" t="e">
        <f>IF(#REF!,"AAAAAAR/i6s=",0)</f>
        <v>#REF!</v>
      </c>
      <c r="FQ56" t="e">
        <f>IF(#REF!,"AAAAAAR/i6w=",0)</f>
        <v>#REF!</v>
      </c>
      <c r="FR56" t="e">
        <f>IF(#REF!,"AAAAAAR/i60=",0)</f>
        <v>#REF!</v>
      </c>
      <c r="FS56" t="e">
        <f>IF(#REF!,"AAAAAAR/i64=",0)</f>
        <v>#REF!</v>
      </c>
      <c r="FT56" t="e">
        <f>IF(#REF!,"AAAAAAR/i68=",0)</f>
        <v>#REF!</v>
      </c>
      <c r="FU56" t="e">
        <f>IF(#REF!,"AAAAAAR/i7A=",0)</f>
        <v>#REF!</v>
      </c>
      <c r="FV56" t="e">
        <f>IF(#REF!,"AAAAAAR/i7E=",0)</f>
        <v>#REF!</v>
      </c>
      <c r="FW56" t="e">
        <f>IF(#REF!,"AAAAAAR/i7I=",0)</f>
        <v>#REF!</v>
      </c>
      <c r="FX56" t="e">
        <f>IF(#REF!,"AAAAAAR/i7M=",0)</f>
        <v>#REF!</v>
      </c>
      <c r="FY56" t="e">
        <f>IF(#REF!,"AAAAAAR/i7Q=",0)</f>
        <v>#REF!</v>
      </c>
      <c r="FZ56" t="e">
        <f>IF(#REF!,"AAAAAAR/i7U=",0)</f>
        <v>#REF!</v>
      </c>
      <c r="GA56" t="e">
        <f>IF(#REF!,"AAAAAAR/i7Y=",0)</f>
        <v>#REF!</v>
      </c>
      <c r="GB56" t="e">
        <f>IF(#REF!,"AAAAAAR/i7c=",0)</f>
        <v>#REF!</v>
      </c>
      <c r="GC56" t="e">
        <f>IF(#REF!,"AAAAAAR/i7g=",0)</f>
        <v>#REF!</v>
      </c>
      <c r="GD56" t="e">
        <f>IF(#REF!,"AAAAAAR/i7k=",0)</f>
        <v>#REF!</v>
      </c>
      <c r="GE56" t="e">
        <f>IF(#REF!,"AAAAAAR/i7o=",0)</f>
        <v>#REF!</v>
      </c>
      <c r="GF56" t="e">
        <f>IF(#REF!,"AAAAAAR/i7s=",0)</f>
        <v>#REF!</v>
      </c>
      <c r="GG56" t="e">
        <f>IF(#REF!,"AAAAAAR/i7w=",0)</f>
        <v>#REF!</v>
      </c>
      <c r="GH56" t="e">
        <f>IF(#REF!,"AAAAAAR/i70=",0)</f>
        <v>#REF!</v>
      </c>
      <c r="GI56" t="e">
        <f>IF(#REF!,"AAAAAAR/i74=",0)</f>
        <v>#REF!</v>
      </c>
      <c r="GJ56" t="e">
        <f>IF(#REF!,"AAAAAAR/i78=",0)</f>
        <v>#REF!</v>
      </c>
      <c r="GK56" t="e">
        <f>IF(#REF!,"AAAAAAR/i8A=",0)</f>
        <v>#REF!</v>
      </c>
      <c r="GL56" t="e">
        <f>IF(#REF!,"AAAAAAR/i8E=",0)</f>
        <v>#REF!</v>
      </c>
      <c r="GM56" t="e">
        <f>IF(#REF!,"AAAAAAR/i8I=",0)</f>
        <v>#REF!</v>
      </c>
      <c r="GN56" t="e">
        <f>IF(#REF!,"AAAAAAR/i8M=",0)</f>
        <v>#REF!</v>
      </c>
      <c r="GO56" t="e">
        <f>IF(#REF!,"AAAAAAR/i8Q=",0)</f>
        <v>#REF!</v>
      </c>
      <c r="GP56" t="e">
        <f>IF(#REF!,"AAAAAAR/i8U=",0)</f>
        <v>#REF!</v>
      </c>
      <c r="GQ56" s="6" t="s">
        <v>118</v>
      </c>
      <c r="GR56" s="8" t="s">
        <v>119</v>
      </c>
    </row>
    <row r="57" spans="1:256" ht="15">
      <c r="A57" t="e">
        <f>AND('WJP Rule of Law Index 2012-2013'!O1,"AAAAAF8b2QA=")</f>
        <v>#VALUE!</v>
      </c>
      <c r="B57" t="e">
        <f>AND('WJP Rule of Law Index 2012-2013'!L2,"AAAAAF8b2QE=")</f>
        <v>#VALUE!</v>
      </c>
      <c r="C57" t="e">
        <f>AND('WJP Rule of Law Index 2012-2013'!M2,"AAAAAF8b2QI=")</f>
        <v>#VALUE!</v>
      </c>
      <c r="D57" t="e">
        <f>AND('WJP Rule of Law Index 2012-2013'!N2,"AAAAAF8b2QM=")</f>
        <v>#VALUE!</v>
      </c>
      <c r="E57" t="e">
        <f>AND('WJP Rule of Law Index 2012-2013'!O2,"AAAAAF8b2QQ=")</f>
        <v>#VALUE!</v>
      </c>
      <c r="F57" t="e">
        <f>AND('WJP Rule of Law Index 2012-2013'!AU2,"AAAAAF8b2QU=")</f>
        <v>#VALUE!</v>
      </c>
      <c r="G57" t="e">
        <f>AND('WJP Rule of Law Index 2012-2013'!AV2,"AAAAAF8b2QY=")</f>
        <v>#VALUE!</v>
      </c>
      <c r="H57" t="e">
        <f>AND('WJP Rule of Law Index 2012-2013'!AW2,"AAAAAF8b2Qc=")</f>
        <v>#VALUE!</v>
      </c>
      <c r="I57" t="e">
        <f>AND('WJP Rule of Law Index 2012-2013'!AX2,"AAAAAF8b2Qg=")</f>
        <v>#VALUE!</v>
      </c>
      <c r="J57" t="e">
        <f>AND('WJP Rule of Law Index 2012-2013'!AY2,"AAAAAF8b2Qk=")</f>
        <v>#VALUE!</v>
      </c>
      <c r="K57" t="e">
        <f>AND('WJP Rule of Law Index 2012-2013'!AZ2,"AAAAAF8b2Qo=")</f>
        <v>#VALUE!</v>
      </c>
      <c r="L57" t="e">
        <f>AND('WJP Rule of Law Index 2012-2013'!BA2,"AAAAAF8b2Qs=")</f>
        <v>#VALUE!</v>
      </c>
      <c r="M57" t="e">
        <f>AND('WJP Rule of Law Index 2012-2013'!BB2,"AAAAAF8b2Qw=")</f>
        <v>#VALUE!</v>
      </c>
      <c r="N57" t="e">
        <f>AND('WJP Rule of Law Index 2012-2013'!BC2,"AAAAAF8b2Q0=")</f>
        <v>#VALUE!</v>
      </c>
      <c r="O57" t="e">
        <f>AND('WJP Rule of Law Index 2012-2013'!L3,"AAAAAF8b2Q4=")</f>
        <v>#VALUE!</v>
      </c>
      <c r="P57" t="e">
        <f>AND('WJP Rule of Law Index 2012-2013'!M3,"AAAAAF8b2Q8=")</f>
        <v>#VALUE!</v>
      </c>
      <c r="Q57" t="e">
        <f>AND('WJP Rule of Law Index 2012-2013'!N3,"AAAAAF8b2RA=")</f>
        <v>#VALUE!</v>
      </c>
      <c r="R57" t="e">
        <f>AND('WJP Rule of Law Index 2012-2013'!O3,"AAAAAF8b2RE=")</f>
        <v>#VALUE!</v>
      </c>
      <c r="S57" t="e">
        <f>AND('WJP Rule of Law Index 2012-2013'!AU3,"AAAAAF8b2RI=")</f>
        <v>#VALUE!</v>
      </c>
      <c r="T57" t="e">
        <f>AND('WJP Rule of Law Index 2012-2013'!AV3,"AAAAAF8b2RM=")</f>
        <v>#VALUE!</v>
      </c>
      <c r="U57" t="e">
        <f>AND('WJP Rule of Law Index 2012-2013'!AW3,"AAAAAF8b2RQ=")</f>
        <v>#VALUE!</v>
      </c>
      <c r="V57" t="e">
        <f>AND('WJP Rule of Law Index 2012-2013'!AX3,"AAAAAF8b2RU=")</f>
        <v>#VALUE!</v>
      </c>
      <c r="W57" t="e">
        <f>AND('WJP Rule of Law Index 2012-2013'!AY3,"AAAAAF8b2RY=")</f>
        <v>#VALUE!</v>
      </c>
      <c r="X57" t="e">
        <f>AND('WJP Rule of Law Index 2012-2013'!AZ3,"AAAAAF8b2Rc=")</f>
        <v>#VALUE!</v>
      </c>
      <c r="Y57" t="e">
        <f>AND('WJP Rule of Law Index 2012-2013'!BA3,"AAAAAF8b2Rg=")</f>
        <v>#VALUE!</v>
      </c>
      <c r="Z57" t="e">
        <f>AND('WJP Rule of Law Index 2012-2013'!BB3,"AAAAAF8b2Rk=")</f>
        <v>#VALUE!</v>
      </c>
      <c r="AA57" t="e">
        <f>AND('WJP Rule of Law Index 2012-2013'!BC3,"AAAAAF8b2Ro=")</f>
        <v>#VALUE!</v>
      </c>
      <c r="AB57" t="e">
        <f>AND('WJP Rule of Law Index 2012-2013'!L4,"AAAAAF8b2Rs=")</f>
        <v>#VALUE!</v>
      </c>
      <c r="AC57" t="e">
        <f>AND('WJP Rule of Law Index 2012-2013'!M4,"AAAAAF8b2Rw=")</f>
        <v>#VALUE!</v>
      </c>
      <c r="AD57" t="e">
        <f>AND('WJP Rule of Law Index 2012-2013'!N4,"AAAAAF8b2R0=")</f>
        <v>#VALUE!</v>
      </c>
      <c r="AE57" t="e">
        <f>AND('WJP Rule of Law Index 2012-2013'!O4,"AAAAAF8b2R4=")</f>
        <v>#VALUE!</v>
      </c>
      <c r="AF57" t="e">
        <f>AND('WJP Rule of Law Index 2012-2013'!AU4,"AAAAAF8b2R8=")</f>
        <v>#VALUE!</v>
      </c>
      <c r="AG57" t="e">
        <f>AND('WJP Rule of Law Index 2012-2013'!AV4,"AAAAAF8b2SA=")</f>
        <v>#VALUE!</v>
      </c>
      <c r="AH57" t="e">
        <f>AND('WJP Rule of Law Index 2012-2013'!AW4,"AAAAAF8b2SE=")</f>
        <v>#VALUE!</v>
      </c>
      <c r="AI57" t="e">
        <f>AND('WJP Rule of Law Index 2012-2013'!AX4,"AAAAAF8b2SI=")</f>
        <v>#VALUE!</v>
      </c>
      <c r="AJ57" t="e">
        <f>AND('WJP Rule of Law Index 2012-2013'!AY4,"AAAAAF8b2SM=")</f>
        <v>#VALUE!</v>
      </c>
      <c r="AK57" t="e">
        <f>AND('WJP Rule of Law Index 2012-2013'!AZ4,"AAAAAF8b2SQ=")</f>
        <v>#VALUE!</v>
      </c>
      <c r="AL57" t="e">
        <f>AND('WJP Rule of Law Index 2012-2013'!BA4,"AAAAAF8b2SU=")</f>
        <v>#VALUE!</v>
      </c>
      <c r="AM57" t="e">
        <f>AND('WJP Rule of Law Index 2012-2013'!BB4,"AAAAAF8b2SY=")</f>
        <v>#VALUE!</v>
      </c>
      <c r="AN57" t="e">
        <f>AND('WJP Rule of Law Index 2012-2013'!BC4,"AAAAAF8b2Sc=")</f>
        <v>#VALUE!</v>
      </c>
      <c r="AO57" t="e">
        <f>AND('WJP Rule of Law Index 2012-2013'!L5,"AAAAAF8b2Sg=")</f>
        <v>#VALUE!</v>
      </c>
      <c r="AP57" t="e">
        <f>AND('WJP Rule of Law Index 2012-2013'!M5,"AAAAAF8b2Sk=")</f>
        <v>#VALUE!</v>
      </c>
      <c r="AQ57" t="e">
        <f>AND('WJP Rule of Law Index 2012-2013'!N5,"AAAAAF8b2So=")</f>
        <v>#VALUE!</v>
      </c>
      <c r="AR57" t="e">
        <f>AND('WJP Rule of Law Index 2012-2013'!O5,"AAAAAF8b2Ss=")</f>
        <v>#VALUE!</v>
      </c>
      <c r="AS57" t="e">
        <f>AND('WJP Rule of Law Index 2012-2013'!AU5,"AAAAAF8b2Sw=")</f>
        <v>#VALUE!</v>
      </c>
      <c r="AT57" t="e">
        <f>AND('WJP Rule of Law Index 2012-2013'!AV5,"AAAAAF8b2S0=")</f>
        <v>#VALUE!</v>
      </c>
      <c r="AU57" t="e">
        <f>AND('WJP Rule of Law Index 2012-2013'!AW5,"AAAAAF8b2S4=")</f>
        <v>#VALUE!</v>
      </c>
      <c r="AV57" t="e">
        <f>AND('WJP Rule of Law Index 2012-2013'!AX5,"AAAAAF8b2S8=")</f>
        <v>#VALUE!</v>
      </c>
      <c r="AW57" t="e">
        <f>AND('WJP Rule of Law Index 2012-2013'!AY5,"AAAAAF8b2TA=")</f>
        <v>#VALUE!</v>
      </c>
      <c r="AX57" t="e">
        <f>AND('WJP Rule of Law Index 2012-2013'!AZ5,"AAAAAF8b2TE=")</f>
        <v>#VALUE!</v>
      </c>
      <c r="AY57" t="e">
        <f>AND('WJP Rule of Law Index 2012-2013'!BA5,"AAAAAF8b2TI=")</f>
        <v>#VALUE!</v>
      </c>
      <c r="AZ57" t="e">
        <f>AND('WJP Rule of Law Index 2012-2013'!BB5,"AAAAAF8b2TM=")</f>
        <v>#VALUE!</v>
      </c>
      <c r="BA57" t="e">
        <f>AND('WJP Rule of Law Index 2012-2013'!BC5,"AAAAAF8b2TQ=")</f>
        <v>#VALUE!</v>
      </c>
      <c r="BB57" t="e">
        <f>AND('WJP Rule of Law Index 2012-2013'!L6,"AAAAAF8b2TU=")</f>
        <v>#VALUE!</v>
      </c>
      <c r="BC57" t="e">
        <f>AND('WJP Rule of Law Index 2012-2013'!M6,"AAAAAF8b2TY=")</f>
        <v>#VALUE!</v>
      </c>
      <c r="BD57" t="e">
        <f>AND('WJP Rule of Law Index 2012-2013'!N6,"AAAAAF8b2Tc=")</f>
        <v>#VALUE!</v>
      </c>
      <c r="BE57" t="e">
        <f>AND('WJP Rule of Law Index 2012-2013'!O6,"AAAAAF8b2Tg=")</f>
        <v>#VALUE!</v>
      </c>
      <c r="BF57" t="e">
        <f>AND('WJP Rule of Law Index 2012-2013'!AU6,"AAAAAF8b2Tk=")</f>
        <v>#VALUE!</v>
      </c>
      <c r="BG57" t="e">
        <f>AND('WJP Rule of Law Index 2012-2013'!AV6,"AAAAAF8b2To=")</f>
        <v>#VALUE!</v>
      </c>
      <c r="BH57" t="e">
        <f>AND('WJP Rule of Law Index 2012-2013'!AW6,"AAAAAF8b2Ts=")</f>
        <v>#VALUE!</v>
      </c>
      <c r="BI57" t="e">
        <f>AND('WJP Rule of Law Index 2012-2013'!AX6,"AAAAAF8b2Tw=")</f>
        <v>#VALUE!</v>
      </c>
      <c r="BJ57" t="e">
        <f>AND('WJP Rule of Law Index 2012-2013'!AY6,"AAAAAF8b2T0=")</f>
        <v>#VALUE!</v>
      </c>
      <c r="BK57" t="e">
        <f>AND('WJP Rule of Law Index 2012-2013'!AZ6,"AAAAAF8b2T4=")</f>
        <v>#VALUE!</v>
      </c>
      <c r="BL57" t="e">
        <f>AND('WJP Rule of Law Index 2012-2013'!BA6,"AAAAAF8b2T8=")</f>
        <v>#VALUE!</v>
      </c>
      <c r="BM57" t="e">
        <f>AND('WJP Rule of Law Index 2012-2013'!BB6,"AAAAAF8b2UA=")</f>
        <v>#VALUE!</v>
      </c>
      <c r="BN57" t="e">
        <f>AND('WJP Rule of Law Index 2012-2013'!BC6,"AAAAAF8b2UE=")</f>
        <v>#VALUE!</v>
      </c>
      <c r="BO57" t="e">
        <f>AND('WJP Rule of Law Index 2012-2013'!L7,"AAAAAF8b2UI=")</f>
        <v>#VALUE!</v>
      </c>
      <c r="BP57" t="e">
        <f>AND('WJP Rule of Law Index 2012-2013'!M7,"AAAAAF8b2UM=")</f>
        <v>#VALUE!</v>
      </c>
      <c r="BQ57" t="e">
        <f>AND('WJP Rule of Law Index 2012-2013'!N7,"AAAAAF8b2UQ=")</f>
        <v>#VALUE!</v>
      </c>
      <c r="BR57" t="e">
        <f>AND('WJP Rule of Law Index 2012-2013'!O7,"AAAAAF8b2UU=")</f>
        <v>#VALUE!</v>
      </c>
      <c r="BS57" t="e">
        <f>AND('WJP Rule of Law Index 2012-2013'!AU7,"AAAAAF8b2UY=")</f>
        <v>#VALUE!</v>
      </c>
      <c r="BT57" t="e">
        <f>AND('WJP Rule of Law Index 2012-2013'!AV7,"AAAAAF8b2Uc=")</f>
        <v>#VALUE!</v>
      </c>
      <c r="BU57" t="e">
        <f>AND('WJP Rule of Law Index 2012-2013'!AW7,"AAAAAF8b2Ug=")</f>
        <v>#VALUE!</v>
      </c>
      <c r="BV57" t="e">
        <f>AND('WJP Rule of Law Index 2012-2013'!AX7,"AAAAAF8b2Uk=")</f>
        <v>#VALUE!</v>
      </c>
      <c r="BW57" t="e">
        <f>AND('WJP Rule of Law Index 2012-2013'!AY7,"AAAAAF8b2Uo=")</f>
        <v>#VALUE!</v>
      </c>
      <c r="BX57" t="e">
        <f>AND('WJP Rule of Law Index 2012-2013'!AZ7,"AAAAAF8b2Us=")</f>
        <v>#VALUE!</v>
      </c>
      <c r="BY57" t="e">
        <f>AND('WJP Rule of Law Index 2012-2013'!BA7,"AAAAAF8b2Uw=")</f>
        <v>#VALUE!</v>
      </c>
      <c r="BZ57" t="e">
        <f>AND('WJP Rule of Law Index 2012-2013'!BB7,"AAAAAF8b2U0=")</f>
        <v>#VALUE!</v>
      </c>
      <c r="CA57" t="e">
        <f>AND('WJP Rule of Law Index 2012-2013'!BC7,"AAAAAF8b2U4=")</f>
        <v>#VALUE!</v>
      </c>
      <c r="CB57" t="e">
        <f>AND('WJP Rule of Law Index 2012-2013'!L8,"AAAAAF8b2U8=")</f>
        <v>#VALUE!</v>
      </c>
      <c r="CC57" t="e">
        <f>AND('WJP Rule of Law Index 2012-2013'!M8,"AAAAAF8b2VA=")</f>
        <v>#VALUE!</v>
      </c>
      <c r="CD57" t="e">
        <f>AND('WJP Rule of Law Index 2012-2013'!N8,"AAAAAF8b2VE=")</f>
        <v>#VALUE!</v>
      </c>
      <c r="CE57" t="e">
        <f>AND('WJP Rule of Law Index 2012-2013'!O8,"AAAAAF8b2VI=")</f>
        <v>#VALUE!</v>
      </c>
      <c r="CF57" t="e">
        <f>AND('WJP Rule of Law Index 2012-2013'!AU8,"AAAAAF8b2VM=")</f>
        <v>#VALUE!</v>
      </c>
      <c r="CG57" t="e">
        <f>AND('WJP Rule of Law Index 2012-2013'!AV8,"AAAAAF8b2VQ=")</f>
        <v>#VALUE!</v>
      </c>
      <c r="CH57" t="e">
        <f>AND('WJP Rule of Law Index 2012-2013'!AW8,"AAAAAF8b2VU=")</f>
        <v>#VALUE!</v>
      </c>
      <c r="CI57" t="e">
        <f>AND('WJP Rule of Law Index 2012-2013'!AX8,"AAAAAF8b2VY=")</f>
        <v>#VALUE!</v>
      </c>
      <c r="CJ57" t="e">
        <f>AND('WJP Rule of Law Index 2012-2013'!AY8,"AAAAAF8b2Vc=")</f>
        <v>#VALUE!</v>
      </c>
      <c r="CK57" t="e">
        <f>AND('WJP Rule of Law Index 2012-2013'!AZ8,"AAAAAF8b2Vg=")</f>
        <v>#VALUE!</v>
      </c>
      <c r="CL57" t="e">
        <f>AND('WJP Rule of Law Index 2012-2013'!BA8,"AAAAAF8b2Vk=")</f>
        <v>#VALUE!</v>
      </c>
      <c r="CM57" t="e">
        <f>AND('WJP Rule of Law Index 2012-2013'!BB8,"AAAAAF8b2Vo=")</f>
        <v>#VALUE!</v>
      </c>
      <c r="CN57" t="e">
        <f>AND('WJP Rule of Law Index 2012-2013'!BC8,"AAAAAF8b2Vs=")</f>
        <v>#VALUE!</v>
      </c>
      <c r="CO57" t="e">
        <f>AND('WJP Rule of Law Index 2012-2013'!L9,"AAAAAF8b2Vw=")</f>
        <v>#VALUE!</v>
      </c>
      <c r="CP57" t="e">
        <f>AND('WJP Rule of Law Index 2012-2013'!M9,"AAAAAF8b2V0=")</f>
        <v>#VALUE!</v>
      </c>
      <c r="CQ57" t="e">
        <f>AND('WJP Rule of Law Index 2012-2013'!N9,"AAAAAF8b2V4=")</f>
        <v>#VALUE!</v>
      </c>
      <c r="CR57" t="e">
        <f>AND('WJP Rule of Law Index 2012-2013'!O9,"AAAAAF8b2V8=")</f>
        <v>#VALUE!</v>
      </c>
      <c r="CS57" t="e">
        <f>AND('WJP Rule of Law Index 2012-2013'!AU9,"AAAAAF8b2WA=")</f>
        <v>#VALUE!</v>
      </c>
      <c r="CT57" t="e">
        <f>AND('WJP Rule of Law Index 2012-2013'!AV9,"AAAAAF8b2WE=")</f>
        <v>#VALUE!</v>
      </c>
      <c r="CU57" t="e">
        <f>AND('WJP Rule of Law Index 2012-2013'!AW9,"AAAAAF8b2WI=")</f>
        <v>#VALUE!</v>
      </c>
      <c r="CV57" t="e">
        <f>AND('WJP Rule of Law Index 2012-2013'!AX9,"AAAAAF8b2WM=")</f>
        <v>#VALUE!</v>
      </c>
      <c r="CW57" t="e">
        <f>AND('WJP Rule of Law Index 2012-2013'!AY9,"AAAAAF8b2WQ=")</f>
        <v>#VALUE!</v>
      </c>
      <c r="CX57" t="e">
        <f>AND('WJP Rule of Law Index 2012-2013'!AZ9,"AAAAAF8b2WU=")</f>
        <v>#VALUE!</v>
      </c>
      <c r="CY57" t="e">
        <f>AND('WJP Rule of Law Index 2012-2013'!BA9,"AAAAAF8b2WY=")</f>
        <v>#VALUE!</v>
      </c>
      <c r="CZ57" t="e">
        <f>AND('WJP Rule of Law Index 2012-2013'!BB9,"AAAAAF8b2Wc=")</f>
        <v>#VALUE!</v>
      </c>
      <c r="DA57" t="e">
        <f>AND('WJP Rule of Law Index 2012-2013'!BC9,"AAAAAF8b2Wg=")</f>
        <v>#VALUE!</v>
      </c>
      <c r="DB57" t="e">
        <f>AND('WJP Rule of Law Index 2012-2013'!L10,"AAAAAF8b2Wk=")</f>
        <v>#VALUE!</v>
      </c>
      <c r="DC57" t="e">
        <f>AND('WJP Rule of Law Index 2012-2013'!M10,"AAAAAF8b2Wo=")</f>
        <v>#VALUE!</v>
      </c>
      <c r="DD57" t="e">
        <f>AND('WJP Rule of Law Index 2012-2013'!N10,"AAAAAF8b2Ws=")</f>
        <v>#VALUE!</v>
      </c>
      <c r="DE57" t="e">
        <f>AND('WJP Rule of Law Index 2012-2013'!O10,"AAAAAF8b2Ww=")</f>
        <v>#VALUE!</v>
      </c>
      <c r="DF57" t="e">
        <f>AND('WJP Rule of Law Index 2012-2013'!AU10,"AAAAAF8b2W0=")</f>
        <v>#VALUE!</v>
      </c>
      <c r="DG57" t="e">
        <f>AND('WJP Rule of Law Index 2012-2013'!AV10,"AAAAAF8b2W4=")</f>
        <v>#VALUE!</v>
      </c>
      <c r="DH57" t="e">
        <f>AND('WJP Rule of Law Index 2012-2013'!AW10,"AAAAAF8b2W8=")</f>
        <v>#VALUE!</v>
      </c>
      <c r="DI57" t="e">
        <f>AND('WJP Rule of Law Index 2012-2013'!AX10,"AAAAAF8b2XA=")</f>
        <v>#VALUE!</v>
      </c>
      <c r="DJ57" t="e">
        <f>AND('WJP Rule of Law Index 2012-2013'!AY10,"AAAAAF8b2XE=")</f>
        <v>#VALUE!</v>
      </c>
      <c r="DK57" t="e">
        <f>AND('WJP Rule of Law Index 2012-2013'!AZ10,"AAAAAF8b2XI=")</f>
        <v>#VALUE!</v>
      </c>
      <c r="DL57" t="e">
        <f>AND('WJP Rule of Law Index 2012-2013'!BA10,"AAAAAF8b2XM=")</f>
        <v>#VALUE!</v>
      </c>
      <c r="DM57" t="e">
        <f>AND('WJP Rule of Law Index 2012-2013'!BB10,"AAAAAF8b2XQ=")</f>
        <v>#VALUE!</v>
      </c>
      <c r="DN57" t="e">
        <f>AND('WJP Rule of Law Index 2012-2013'!BC10,"AAAAAF8b2XU=")</f>
        <v>#VALUE!</v>
      </c>
      <c r="DO57" t="e">
        <f>AND('WJP Rule of Law Index 2012-2013'!L11,"AAAAAF8b2XY=")</f>
        <v>#VALUE!</v>
      </c>
      <c r="DP57" t="e">
        <f>AND('WJP Rule of Law Index 2012-2013'!M11,"AAAAAF8b2Xc=")</f>
        <v>#VALUE!</v>
      </c>
      <c r="DQ57" t="e">
        <f>AND('WJP Rule of Law Index 2012-2013'!N11,"AAAAAF8b2Xg=")</f>
        <v>#VALUE!</v>
      </c>
      <c r="DR57" t="e">
        <f>AND('WJP Rule of Law Index 2012-2013'!O11,"AAAAAF8b2Xk=")</f>
        <v>#VALUE!</v>
      </c>
      <c r="DS57" t="e">
        <f>AND('WJP Rule of Law Index 2012-2013'!AU11,"AAAAAF8b2Xo=")</f>
        <v>#VALUE!</v>
      </c>
      <c r="DT57" t="e">
        <f>AND('WJP Rule of Law Index 2012-2013'!AV11,"AAAAAF8b2Xs=")</f>
        <v>#VALUE!</v>
      </c>
      <c r="DU57" t="e">
        <f>AND('WJP Rule of Law Index 2012-2013'!AW11,"AAAAAF8b2Xw=")</f>
        <v>#VALUE!</v>
      </c>
      <c r="DV57" t="e">
        <f>AND('WJP Rule of Law Index 2012-2013'!AX11,"AAAAAF8b2X0=")</f>
        <v>#VALUE!</v>
      </c>
      <c r="DW57" t="e">
        <f>AND('WJP Rule of Law Index 2012-2013'!AY11,"AAAAAF8b2X4=")</f>
        <v>#VALUE!</v>
      </c>
      <c r="DX57" t="e">
        <f>AND('WJP Rule of Law Index 2012-2013'!AZ11,"AAAAAF8b2X8=")</f>
        <v>#VALUE!</v>
      </c>
      <c r="DY57" t="e">
        <f>AND('WJP Rule of Law Index 2012-2013'!BA11,"AAAAAF8b2YA=")</f>
        <v>#VALUE!</v>
      </c>
      <c r="DZ57" t="e">
        <f>AND('WJP Rule of Law Index 2012-2013'!BB11,"AAAAAF8b2YE=")</f>
        <v>#VALUE!</v>
      </c>
      <c r="EA57" t="e">
        <f>AND('WJP Rule of Law Index 2012-2013'!BC11,"AAAAAF8b2YI=")</f>
        <v>#VALUE!</v>
      </c>
      <c r="EB57" t="e">
        <f>AND('WJP Rule of Law Index 2012-2013'!L12,"AAAAAF8b2YM=")</f>
        <v>#VALUE!</v>
      </c>
      <c r="EC57" t="e">
        <f>AND('WJP Rule of Law Index 2012-2013'!M12,"AAAAAF8b2YQ=")</f>
        <v>#VALUE!</v>
      </c>
      <c r="ED57" t="e">
        <f>AND('WJP Rule of Law Index 2012-2013'!N12,"AAAAAF8b2YU=")</f>
        <v>#VALUE!</v>
      </c>
      <c r="EE57" t="e">
        <f>AND('WJP Rule of Law Index 2012-2013'!O12,"AAAAAF8b2YY=")</f>
        <v>#VALUE!</v>
      </c>
      <c r="EF57" t="e">
        <f>AND('WJP Rule of Law Index 2012-2013'!AU12,"AAAAAF8b2Yc=")</f>
        <v>#VALUE!</v>
      </c>
      <c r="EG57" t="e">
        <f>AND('WJP Rule of Law Index 2012-2013'!AV12,"AAAAAF8b2Yg=")</f>
        <v>#VALUE!</v>
      </c>
      <c r="EH57" t="e">
        <f>AND('WJP Rule of Law Index 2012-2013'!AW12,"AAAAAF8b2Yk=")</f>
        <v>#VALUE!</v>
      </c>
      <c r="EI57" t="e">
        <f>AND('WJP Rule of Law Index 2012-2013'!AX12,"AAAAAF8b2Yo=")</f>
        <v>#VALUE!</v>
      </c>
      <c r="EJ57" t="e">
        <f>AND('WJP Rule of Law Index 2012-2013'!AY12,"AAAAAF8b2Ys=")</f>
        <v>#VALUE!</v>
      </c>
      <c r="EK57" t="e">
        <f>AND('WJP Rule of Law Index 2012-2013'!AZ12,"AAAAAF8b2Yw=")</f>
        <v>#VALUE!</v>
      </c>
      <c r="EL57" t="e">
        <f>AND('WJP Rule of Law Index 2012-2013'!BA12,"AAAAAF8b2Y0=")</f>
        <v>#VALUE!</v>
      </c>
      <c r="EM57" t="e">
        <f>AND('WJP Rule of Law Index 2012-2013'!BB12,"AAAAAF8b2Y4=")</f>
        <v>#VALUE!</v>
      </c>
      <c r="EN57" t="e">
        <f>AND('WJP Rule of Law Index 2012-2013'!BC12,"AAAAAF8b2Y8=")</f>
        <v>#VALUE!</v>
      </c>
      <c r="EO57" t="e">
        <f>AND('WJP Rule of Law Index 2012-2013'!L13,"AAAAAF8b2ZA=")</f>
        <v>#VALUE!</v>
      </c>
      <c r="EP57" t="e">
        <f>AND('WJP Rule of Law Index 2012-2013'!M13,"AAAAAF8b2ZE=")</f>
        <v>#VALUE!</v>
      </c>
      <c r="EQ57" t="e">
        <f>AND('WJP Rule of Law Index 2012-2013'!N13,"AAAAAF8b2ZI=")</f>
        <v>#VALUE!</v>
      </c>
      <c r="ER57" t="e">
        <f>AND('WJP Rule of Law Index 2012-2013'!O13,"AAAAAF8b2ZM=")</f>
        <v>#VALUE!</v>
      </c>
      <c r="ES57" t="e">
        <f>AND('WJP Rule of Law Index 2012-2013'!AU13,"AAAAAF8b2ZQ=")</f>
        <v>#VALUE!</v>
      </c>
      <c r="ET57" t="e">
        <f>AND('WJP Rule of Law Index 2012-2013'!AV13,"AAAAAF8b2ZU=")</f>
        <v>#VALUE!</v>
      </c>
      <c r="EU57" t="e">
        <f>AND('WJP Rule of Law Index 2012-2013'!AW13,"AAAAAF8b2ZY=")</f>
        <v>#VALUE!</v>
      </c>
      <c r="EV57" t="e">
        <f>AND('WJP Rule of Law Index 2012-2013'!AX13,"AAAAAF8b2Zc=")</f>
        <v>#VALUE!</v>
      </c>
      <c r="EW57" t="e">
        <f>AND('WJP Rule of Law Index 2012-2013'!AY13,"AAAAAF8b2Zg=")</f>
        <v>#VALUE!</v>
      </c>
      <c r="EX57" t="e">
        <f>AND('WJP Rule of Law Index 2012-2013'!AZ13,"AAAAAF8b2Zk=")</f>
        <v>#VALUE!</v>
      </c>
      <c r="EY57" t="e">
        <f>AND('WJP Rule of Law Index 2012-2013'!BA13,"AAAAAF8b2Zo=")</f>
        <v>#VALUE!</v>
      </c>
      <c r="EZ57" t="e">
        <f>AND('WJP Rule of Law Index 2012-2013'!BB13,"AAAAAF8b2Zs=")</f>
        <v>#VALUE!</v>
      </c>
      <c r="FA57" t="e">
        <f>AND('WJP Rule of Law Index 2012-2013'!BC13,"AAAAAF8b2Zw=")</f>
        <v>#VALUE!</v>
      </c>
      <c r="FB57" t="e">
        <f>AND('WJP Rule of Law Index 2012-2013'!L14,"AAAAAF8b2Z0=")</f>
        <v>#VALUE!</v>
      </c>
      <c r="FC57" t="e">
        <f>AND('WJP Rule of Law Index 2012-2013'!M14,"AAAAAF8b2Z4=")</f>
        <v>#VALUE!</v>
      </c>
      <c r="FD57" t="e">
        <f>AND('WJP Rule of Law Index 2012-2013'!N14,"AAAAAF8b2Z8=")</f>
        <v>#VALUE!</v>
      </c>
      <c r="FE57" t="e">
        <f>AND('WJP Rule of Law Index 2012-2013'!O14,"AAAAAF8b2aA=")</f>
        <v>#VALUE!</v>
      </c>
      <c r="FF57" t="e">
        <f>AND('WJP Rule of Law Index 2012-2013'!AU14,"AAAAAF8b2aE=")</f>
        <v>#VALUE!</v>
      </c>
      <c r="FG57" t="e">
        <f>AND('WJP Rule of Law Index 2012-2013'!AV14,"AAAAAF8b2aI=")</f>
        <v>#VALUE!</v>
      </c>
      <c r="FH57" t="e">
        <f>AND('WJP Rule of Law Index 2012-2013'!AW14,"AAAAAF8b2aM=")</f>
        <v>#VALUE!</v>
      </c>
      <c r="FI57" t="e">
        <f>AND('WJP Rule of Law Index 2012-2013'!AX14,"AAAAAF8b2aQ=")</f>
        <v>#VALUE!</v>
      </c>
      <c r="FJ57" t="e">
        <f>AND('WJP Rule of Law Index 2012-2013'!AY14,"AAAAAF8b2aU=")</f>
        <v>#VALUE!</v>
      </c>
      <c r="FK57" t="e">
        <f>AND('WJP Rule of Law Index 2012-2013'!AZ14,"AAAAAF8b2aY=")</f>
        <v>#VALUE!</v>
      </c>
      <c r="FL57" t="e">
        <f>AND('WJP Rule of Law Index 2012-2013'!BA14,"AAAAAF8b2ac=")</f>
        <v>#VALUE!</v>
      </c>
      <c r="FM57" t="e">
        <f>AND('WJP Rule of Law Index 2012-2013'!BB14,"AAAAAF8b2ag=")</f>
        <v>#VALUE!</v>
      </c>
      <c r="FN57" t="e">
        <f>AND('WJP Rule of Law Index 2012-2013'!BC14,"AAAAAF8b2ak=")</f>
        <v>#VALUE!</v>
      </c>
      <c r="FO57" t="e">
        <f>AND('WJP Rule of Law Index 2012-2013'!L15,"AAAAAF8b2ao=")</f>
        <v>#VALUE!</v>
      </c>
      <c r="FP57" t="e">
        <f>AND('WJP Rule of Law Index 2012-2013'!M15,"AAAAAF8b2as=")</f>
        <v>#VALUE!</v>
      </c>
      <c r="FQ57" t="e">
        <f>AND('WJP Rule of Law Index 2012-2013'!N15,"AAAAAF8b2aw=")</f>
        <v>#VALUE!</v>
      </c>
      <c r="FR57" t="e">
        <f>AND('WJP Rule of Law Index 2012-2013'!O15,"AAAAAF8b2a0=")</f>
        <v>#VALUE!</v>
      </c>
      <c r="FS57" t="e">
        <f>AND('WJP Rule of Law Index 2012-2013'!AU15,"AAAAAF8b2a4=")</f>
        <v>#VALUE!</v>
      </c>
      <c r="FT57" t="e">
        <f>AND('WJP Rule of Law Index 2012-2013'!AV15,"AAAAAF8b2a8=")</f>
        <v>#VALUE!</v>
      </c>
      <c r="FU57" t="e">
        <f>AND('WJP Rule of Law Index 2012-2013'!AW15,"AAAAAF8b2bA=")</f>
        <v>#VALUE!</v>
      </c>
      <c r="FV57" t="e">
        <f>AND('WJP Rule of Law Index 2012-2013'!AX15,"AAAAAF8b2bE=")</f>
        <v>#VALUE!</v>
      </c>
      <c r="FW57" t="e">
        <f>AND('WJP Rule of Law Index 2012-2013'!AY15,"AAAAAF8b2bI=")</f>
        <v>#VALUE!</v>
      </c>
      <c r="FX57" t="e">
        <f>AND('WJP Rule of Law Index 2012-2013'!AZ15,"AAAAAF8b2bM=")</f>
        <v>#VALUE!</v>
      </c>
      <c r="FY57" t="e">
        <f>AND('WJP Rule of Law Index 2012-2013'!BA15,"AAAAAF8b2bQ=")</f>
        <v>#VALUE!</v>
      </c>
      <c r="FZ57" t="e">
        <f>AND('WJP Rule of Law Index 2012-2013'!BB15,"AAAAAF8b2bU=")</f>
        <v>#VALUE!</v>
      </c>
      <c r="GA57" t="e">
        <f>AND('WJP Rule of Law Index 2012-2013'!BC15,"AAAAAF8b2bY=")</f>
        <v>#VALUE!</v>
      </c>
      <c r="GB57" t="e">
        <f>AND('WJP Rule of Law Index 2012-2013'!L16,"AAAAAF8b2bc=")</f>
        <v>#VALUE!</v>
      </c>
      <c r="GC57" t="e">
        <f>AND('WJP Rule of Law Index 2012-2013'!M16,"AAAAAF8b2bg=")</f>
        <v>#VALUE!</v>
      </c>
      <c r="GD57" t="e">
        <f>AND('WJP Rule of Law Index 2012-2013'!N16,"AAAAAF8b2bk=")</f>
        <v>#VALUE!</v>
      </c>
      <c r="GE57" t="e">
        <f>AND('WJP Rule of Law Index 2012-2013'!O16,"AAAAAF8b2bo=")</f>
        <v>#VALUE!</v>
      </c>
      <c r="GF57" t="e">
        <f>AND('WJP Rule of Law Index 2012-2013'!AU16,"AAAAAF8b2bs=")</f>
        <v>#VALUE!</v>
      </c>
      <c r="GG57" t="e">
        <f>AND('WJP Rule of Law Index 2012-2013'!AV16,"AAAAAF8b2bw=")</f>
        <v>#VALUE!</v>
      </c>
      <c r="GH57" t="e">
        <f>AND('WJP Rule of Law Index 2012-2013'!AW16,"AAAAAF8b2b0=")</f>
        <v>#VALUE!</v>
      </c>
      <c r="GI57" t="e">
        <f>AND('WJP Rule of Law Index 2012-2013'!AX16,"AAAAAF8b2b4=")</f>
        <v>#VALUE!</v>
      </c>
      <c r="GJ57" t="e">
        <f>AND('WJP Rule of Law Index 2012-2013'!AY16,"AAAAAF8b2b8=")</f>
        <v>#VALUE!</v>
      </c>
      <c r="GK57" t="e">
        <f>AND('WJP Rule of Law Index 2012-2013'!AZ16,"AAAAAF8b2cA=")</f>
        <v>#VALUE!</v>
      </c>
      <c r="GL57" t="e">
        <f>AND('WJP Rule of Law Index 2012-2013'!BA16,"AAAAAF8b2cE=")</f>
        <v>#VALUE!</v>
      </c>
      <c r="GM57" t="e">
        <f>AND('WJP Rule of Law Index 2012-2013'!BB16,"AAAAAF8b2cI=")</f>
        <v>#VALUE!</v>
      </c>
      <c r="GN57" t="e">
        <f>AND('WJP Rule of Law Index 2012-2013'!BC16,"AAAAAF8b2cM=")</f>
        <v>#VALUE!</v>
      </c>
      <c r="GO57" t="e">
        <f>AND('WJP Rule of Law Index 2012-2013'!L17,"AAAAAF8b2cQ=")</f>
        <v>#VALUE!</v>
      </c>
      <c r="GP57" t="e">
        <f>AND('WJP Rule of Law Index 2012-2013'!M17,"AAAAAF8b2cU=")</f>
        <v>#VALUE!</v>
      </c>
      <c r="GQ57" t="e">
        <f>AND('WJP Rule of Law Index 2012-2013'!N17,"AAAAAF8b2cY=")</f>
        <v>#VALUE!</v>
      </c>
      <c r="GR57" t="e">
        <f>AND('WJP Rule of Law Index 2012-2013'!O17,"AAAAAF8b2cc=")</f>
        <v>#VALUE!</v>
      </c>
      <c r="GS57" t="e">
        <f>AND('WJP Rule of Law Index 2012-2013'!AU17,"AAAAAF8b2cg=")</f>
        <v>#VALUE!</v>
      </c>
      <c r="GT57" t="e">
        <f>AND('WJP Rule of Law Index 2012-2013'!AV17,"AAAAAF8b2ck=")</f>
        <v>#VALUE!</v>
      </c>
      <c r="GU57" t="e">
        <f>AND('WJP Rule of Law Index 2012-2013'!AW17,"AAAAAF8b2co=")</f>
        <v>#VALUE!</v>
      </c>
      <c r="GV57" t="e">
        <f>AND('WJP Rule of Law Index 2012-2013'!AX17,"AAAAAF8b2cs=")</f>
        <v>#VALUE!</v>
      </c>
      <c r="GW57" t="e">
        <f>AND('WJP Rule of Law Index 2012-2013'!AY17,"AAAAAF8b2cw=")</f>
        <v>#VALUE!</v>
      </c>
      <c r="GX57" t="e">
        <f>AND('WJP Rule of Law Index 2012-2013'!AZ17,"AAAAAF8b2c0=")</f>
        <v>#VALUE!</v>
      </c>
      <c r="GY57" t="e">
        <f>AND('WJP Rule of Law Index 2012-2013'!BA17,"AAAAAF8b2c4=")</f>
        <v>#VALUE!</v>
      </c>
      <c r="GZ57" t="e">
        <f>AND('WJP Rule of Law Index 2012-2013'!BB17,"AAAAAF8b2c8=")</f>
        <v>#VALUE!</v>
      </c>
      <c r="HA57" t="e">
        <f>AND('WJP Rule of Law Index 2012-2013'!BC17,"AAAAAF8b2dA=")</f>
        <v>#VALUE!</v>
      </c>
      <c r="HB57" t="e">
        <f>AND('WJP Rule of Law Index 2012-2013'!L18,"AAAAAF8b2dE=")</f>
        <v>#VALUE!</v>
      </c>
      <c r="HC57" t="e">
        <f>AND('WJP Rule of Law Index 2012-2013'!M18,"AAAAAF8b2dI=")</f>
        <v>#VALUE!</v>
      </c>
      <c r="HD57" t="e">
        <f>AND('WJP Rule of Law Index 2012-2013'!N18,"AAAAAF8b2dM=")</f>
        <v>#VALUE!</v>
      </c>
      <c r="HE57" t="e">
        <f>AND('WJP Rule of Law Index 2012-2013'!O18,"AAAAAF8b2dQ=")</f>
        <v>#VALUE!</v>
      </c>
      <c r="HF57" t="e">
        <f>AND('WJP Rule of Law Index 2012-2013'!AU18,"AAAAAF8b2dU=")</f>
        <v>#VALUE!</v>
      </c>
      <c r="HG57" t="e">
        <f>AND('WJP Rule of Law Index 2012-2013'!AV18,"AAAAAF8b2dY=")</f>
        <v>#VALUE!</v>
      </c>
      <c r="HH57" t="e">
        <f>AND('WJP Rule of Law Index 2012-2013'!AW18,"AAAAAF8b2dc=")</f>
        <v>#VALUE!</v>
      </c>
      <c r="HI57" t="e">
        <f>AND('WJP Rule of Law Index 2012-2013'!AX18,"AAAAAF8b2dg=")</f>
        <v>#VALUE!</v>
      </c>
      <c r="HJ57" t="e">
        <f>AND('WJP Rule of Law Index 2012-2013'!AY18,"AAAAAF8b2dk=")</f>
        <v>#VALUE!</v>
      </c>
      <c r="HK57" t="e">
        <f>AND('WJP Rule of Law Index 2012-2013'!AZ18,"AAAAAF8b2do=")</f>
        <v>#VALUE!</v>
      </c>
      <c r="HL57" t="e">
        <f>AND('WJP Rule of Law Index 2012-2013'!BA18,"AAAAAF8b2ds=")</f>
        <v>#VALUE!</v>
      </c>
      <c r="HM57" t="e">
        <f>AND('WJP Rule of Law Index 2012-2013'!BB18,"AAAAAF8b2dw=")</f>
        <v>#VALUE!</v>
      </c>
      <c r="HN57" t="e">
        <f>AND('WJP Rule of Law Index 2012-2013'!BC18,"AAAAAF8b2d0=")</f>
        <v>#VALUE!</v>
      </c>
      <c r="HO57" t="e">
        <f>AND('WJP Rule of Law Index 2012-2013'!L19,"AAAAAF8b2d4=")</f>
        <v>#VALUE!</v>
      </c>
      <c r="HP57" t="e">
        <f>AND('WJP Rule of Law Index 2012-2013'!M19,"AAAAAF8b2d8=")</f>
        <v>#VALUE!</v>
      </c>
      <c r="HQ57" t="e">
        <f>AND('WJP Rule of Law Index 2012-2013'!N19,"AAAAAF8b2eA=")</f>
        <v>#VALUE!</v>
      </c>
      <c r="HR57" t="e">
        <f>AND('WJP Rule of Law Index 2012-2013'!O19,"AAAAAF8b2eE=")</f>
        <v>#VALUE!</v>
      </c>
      <c r="HS57" t="e">
        <f>AND('WJP Rule of Law Index 2012-2013'!AU19,"AAAAAF8b2eI=")</f>
        <v>#VALUE!</v>
      </c>
      <c r="HT57" t="e">
        <f>AND('WJP Rule of Law Index 2012-2013'!AV19,"AAAAAF8b2eM=")</f>
        <v>#VALUE!</v>
      </c>
      <c r="HU57" t="e">
        <f>AND('WJP Rule of Law Index 2012-2013'!AW19,"AAAAAF8b2eQ=")</f>
        <v>#VALUE!</v>
      </c>
      <c r="HV57" t="e">
        <f>AND('WJP Rule of Law Index 2012-2013'!AX19,"AAAAAF8b2eU=")</f>
        <v>#VALUE!</v>
      </c>
      <c r="HW57" t="e">
        <f>AND('WJP Rule of Law Index 2012-2013'!AY19,"AAAAAF8b2eY=")</f>
        <v>#VALUE!</v>
      </c>
      <c r="HX57" t="e">
        <f>AND('WJP Rule of Law Index 2012-2013'!AZ19,"AAAAAF8b2ec=")</f>
        <v>#VALUE!</v>
      </c>
      <c r="HY57" t="e">
        <f>AND('WJP Rule of Law Index 2012-2013'!BA19,"AAAAAF8b2eg=")</f>
        <v>#VALUE!</v>
      </c>
      <c r="HZ57" t="e">
        <f>AND('WJP Rule of Law Index 2012-2013'!BB19,"AAAAAF8b2ek=")</f>
        <v>#VALUE!</v>
      </c>
      <c r="IA57" t="e">
        <f>AND('WJP Rule of Law Index 2012-2013'!BC19,"AAAAAF8b2eo=")</f>
        <v>#VALUE!</v>
      </c>
      <c r="IB57" t="e">
        <f>AND('WJP Rule of Law Index 2012-2013'!L20,"AAAAAF8b2es=")</f>
        <v>#VALUE!</v>
      </c>
      <c r="IC57" t="e">
        <f>AND('WJP Rule of Law Index 2012-2013'!M20,"AAAAAF8b2ew=")</f>
        <v>#VALUE!</v>
      </c>
      <c r="ID57" t="e">
        <f>AND('WJP Rule of Law Index 2012-2013'!N20,"AAAAAF8b2e0=")</f>
        <v>#VALUE!</v>
      </c>
      <c r="IE57" t="e">
        <f>AND('WJP Rule of Law Index 2012-2013'!O20,"AAAAAF8b2e4=")</f>
        <v>#VALUE!</v>
      </c>
      <c r="IF57" t="e">
        <f>AND('WJP Rule of Law Index 2012-2013'!AU20,"AAAAAF8b2e8=")</f>
        <v>#VALUE!</v>
      </c>
      <c r="IG57" t="e">
        <f>AND('WJP Rule of Law Index 2012-2013'!AV20,"AAAAAF8b2fA=")</f>
        <v>#VALUE!</v>
      </c>
      <c r="IH57" t="e">
        <f>AND('WJP Rule of Law Index 2012-2013'!AW20,"AAAAAF8b2fE=")</f>
        <v>#VALUE!</v>
      </c>
      <c r="II57" t="e">
        <f>AND('WJP Rule of Law Index 2012-2013'!AX20,"AAAAAF8b2fI=")</f>
        <v>#VALUE!</v>
      </c>
      <c r="IJ57" t="e">
        <f>AND('WJP Rule of Law Index 2012-2013'!AY20,"AAAAAF8b2fM=")</f>
        <v>#VALUE!</v>
      </c>
      <c r="IK57" t="e">
        <f>AND('WJP Rule of Law Index 2012-2013'!AZ20,"AAAAAF8b2fQ=")</f>
        <v>#VALUE!</v>
      </c>
      <c r="IL57" t="e">
        <f>AND('WJP Rule of Law Index 2012-2013'!BA20,"AAAAAF8b2fU=")</f>
        <v>#VALUE!</v>
      </c>
      <c r="IM57" t="e">
        <f>AND('WJP Rule of Law Index 2012-2013'!BB20,"AAAAAF8b2fY=")</f>
        <v>#VALUE!</v>
      </c>
      <c r="IN57" t="e">
        <f>AND('WJP Rule of Law Index 2012-2013'!BC20,"AAAAAF8b2fc=")</f>
        <v>#VALUE!</v>
      </c>
      <c r="IO57" t="e">
        <f>AND('WJP Rule of Law Index 2012-2013'!L21,"AAAAAF8b2fg=")</f>
        <v>#VALUE!</v>
      </c>
      <c r="IP57" t="e">
        <f>AND('WJP Rule of Law Index 2012-2013'!M21,"AAAAAF8b2fk=")</f>
        <v>#VALUE!</v>
      </c>
      <c r="IQ57" t="e">
        <f>AND('WJP Rule of Law Index 2012-2013'!N21,"AAAAAF8b2fo=")</f>
        <v>#VALUE!</v>
      </c>
      <c r="IR57" t="e">
        <f>AND('WJP Rule of Law Index 2012-2013'!O21,"AAAAAF8b2fs=")</f>
        <v>#VALUE!</v>
      </c>
      <c r="IS57" t="e">
        <f>AND('WJP Rule of Law Index 2012-2013'!AU21,"AAAAAF8b2fw=")</f>
        <v>#VALUE!</v>
      </c>
      <c r="IT57" t="e">
        <f>AND('WJP Rule of Law Index 2012-2013'!AV21,"AAAAAF8b2f0=")</f>
        <v>#VALUE!</v>
      </c>
      <c r="IU57" t="e">
        <f>AND('WJP Rule of Law Index 2012-2013'!AW21,"AAAAAF8b2f4=")</f>
        <v>#VALUE!</v>
      </c>
      <c r="IV57" t="e">
        <f>AND('WJP Rule of Law Index 2012-2013'!AX21,"AAAAAF8b2f8=")</f>
        <v>#VALUE!</v>
      </c>
    </row>
    <row r="58" spans="1:256" ht="15">
      <c r="A58" t="e">
        <f>AND('WJP Rule of Law Index 2012-2013'!AY21,"AAAAAG7fswA=")</f>
        <v>#VALUE!</v>
      </c>
      <c r="B58" t="e">
        <f>AND('WJP Rule of Law Index 2012-2013'!AZ21,"AAAAAG7fswE=")</f>
        <v>#VALUE!</v>
      </c>
      <c r="C58" t="e">
        <f>AND('WJP Rule of Law Index 2012-2013'!BA21,"AAAAAG7fswI=")</f>
        <v>#VALUE!</v>
      </c>
      <c r="D58" t="e">
        <f>AND('WJP Rule of Law Index 2012-2013'!BB21,"AAAAAG7fswM=")</f>
        <v>#VALUE!</v>
      </c>
      <c r="E58" t="e">
        <f>AND('WJP Rule of Law Index 2012-2013'!BC21,"AAAAAG7fswQ=")</f>
        <v>#VALUE!</v>
      </c>
      <c r="F58" t="e">
        <f>AND('WJP Rule of Law Index 2012-2013'!L22,"AAAAAG7fswU=")</f>
        <v>#VALUE!</v>
      </c>
      <c r="G58" t="e">
        <f>AND('WJP Rule of Law Index 2012-2013'!M22,"AAAAAG7fswY=")</f>
        <v>#VALUE!</v>
      </c>
      <c r="H58" t="e">
        <f>AND('WJP Rule of Law Index 2012-2013'!N22,"AAAAAG7fswc=")</f>
        <v>#VALUE!</v>
      </c>
      <c r="I58" t="e">
        <f>AND('WJP Rule of Law Index 2012-2013'!O22,"AAAAAG7fswg=")</f>
        <v>#VALUE!</v>
      </c>
      <c r="J58" t="e">
        <f>AND('WJP Rule of Law Index 2012-2013'!AU22,"AAAAAG7fswk=")</f>
        <v>#VALUE!</v>
      </c>
      <c r="K58" t="e">
        <f>AND('WJP Rule of Law Index 2012-2013'!AV22,"AAAAAG7fswo=")</f>
        <v>#VALUE!</v>
      </c>
      <c r="L58" t="e">
        <f>AND('WJP Rule of Law Index 2012-2013'!AW22,"AAAAAG7fsws=")</f>
        <v>#VALUE!</v>
      </c>
      <c r="M58" t="e">
        <f>AND('WJP Rule of Law Index 2012-2013'!AX22,"AAAAAG7fsww=")</f>
        <v>#VALUE!</v>
      </c>
      <c r="N58" t="e">
        <f>AND('WJP Rule of Law Index 2012-2013'!AY22,"AAAAAG7fsw0=")</f>
        <v>#VALUE!</v>
      </c>
      <c r="O58" t="e">
        <f>AND('WJP Rule of Law Index 2012-2013'!AZ22,"AAAAAG7fsw4=")</f>
        <v>#VALUE!</v>
      </c>
      <c r="P58" t="e">
        <f>AND('WJP Rule of Law Index 2012-2013'!BA22,"AAAAAG7fsw8=")</f>
        <v>#VALUE!</v>
      </c>
      <c r="Q58" t="e">
        <f>AND('WJP Rule of Law Index 2012-2013'!BB22,"AAAAAG7fsxA=")</f>
        <v>#VALUE!</v>
      </c>
      <c r="R58" t="e">
        <f>AND('WJP Rule of Law Index 2012-2013'!BC22,"AAAAAG7fsxE=")</f>
        <v>#VALUE!</v>
      </c>
      <c r="S58" t="e">
        <f>AND('WJP Rule of Law Index 2012-2013'!L23,"AAAAAG7fsxI=")</f>
        <v>#VALUE!</v>
      </c>
      <c r="T58" t="e">
        <f>AND('WJP Rule of Law Index 2012-2013'!M23,"AAAAAG7fsxM=")</f>
        <v>#VALUE!</v>
      </c>
      <c r="U58" t="e">
        <f>AND('WJP Rule of Law Index 2012-2013'!N23,"AAAAAG7fsxQ=")</f>
        <v>#VALUE!</v>
      </c>
      <c r="V58" t="e">
        <f>AND('WJP Rule of Law Index 2012-2013'!O23,"AAAAAG7fsxU=")</f>
        <v>#VALUE!</v>
      </c>
      <c r="W58" t="e">
        <f>AND('WJP Rule of Law Index 2012-2013'!AU23,"AAAAAG7fsxY=")</f>
        <v>#VALUE!</v>
      </c>
      <c r="X58" t="e">
        <f>AND('WJP Rule of Law Index 2012-2013'!AV23,"AAAAAG7fsxc=")</f>
        <v>#VALUE!</v>
      </c>
      <c r="Y58" t="e">
        <f>AND('WJP Rule of Law Index 2012-2013'!AW23,"AAAAAG7fsxg=")</f>
        <v>#VALUE!</v>
      </c>
      <c r="Z58" t="e">
        <f>AND('WJP Rule of Law Index 2012-2013'!AX23,"AAAAAG7fsxk=")</f>
        <v>#VALUE!</v>
      </c>
      <c r="AA58" t="e">
        <f>AND('WJP Rule of Law Index 2012-2013'!AY23,"AAAAAG7fsxo=")</f>
        <v>#VALUE!</v>
      </c>
      <c r="AB58" t="e">
        <f>AND('WJP Rule of Law Index 2012-2013'!AZ23,"AAAAAG7fsxs=")</f>
        <v>#VALUE!</v>
      </c>
      <c r="AC58" t="e">
        <f>AND('WJP Rule of Law Index 2012-2013'!BA23,"AAAAAG7fsxw=")</f>
        <v>#VALUE!</v>
      </c>
      <c r="AD58" t="e">
        <f>AND('WJP Rule of Law Index 2012-2013'!BB23,"AAAAAG7fsx0=")</f>
        <v>#VALUE!</v>
      </c>
      <c r="AE58" t="e">
        <f>AND('WJP Rule of Law Index 2012-2013'!BC23,"AAAAAG7fsx4=")</f>
        <v>#VALUE!</v>
      </c>
      <c r="AF58" t="e">
        <f>AND('WJP Rule of Law Index 2012-2013'!L24,"AAAAAG7fsx8=")</f>
        <v>#VALUE!</v>
      </c>
      <c r="AG58" t="e">
        <f>AND('WJP Rule of Law Index 2012-2013'!M24,"AAAAAG7fsyA=")</f>
        <v>#VALUE!</v>
      </c>
      <c r="AH58" t="e">
        <f>AND('WJP Rule of Law Index 2012-2013'!N24,"AAAAAG7fsyE=")</f>
        <v>#VALUE!</v>
      </c>
      <c r="AI58" t="e">
        <f>AND('WJP Rule of Law Index 2012-2013'!O24,"AAAAAG7fsyI=")</f>
        <v>#VALUE!</v>
      </c>
      <c r="AJ58" t="e">
        <f>AND('WJP Rule of Law Index 2012-2013'!AU24,"AAAAAG7fsyM=")</f>
        <v>#VALUE!</v>
      </c>
      <c r="AK58" t="e">
        <f>AND('WJP Rule of Law Index 2012-2013'!AV24,"AAAAAG7fsyQ=")</f>
        <v>#VALUE!</v>
      </c>
      <c r="AL58" t="e">
        <f>AND('WJP Rule of Law Index 2012-2013'!AW24,"AAAAAG7fsyU=")</f>
        <v>#VALUE!</v>
      </c>
      <c r="AM58" t="e">
        <f>AND('WJP Rule of Law Index 2012-2013'!AX24,"AAAAAG7fsyY=")</f>
        <v>#VALUE!</v>
      </c>
      <c r="AN58" t="e">
        <f>AND('WJP Rule of Law Index 2012-2013'!AY24,"AAAAAG7fsyc=")</f>
        <v>#VALUE!</v>
      </c>
      <c r="AO58" t="e">
        <f>AND('WJP Rule of Law Index 2012-2013'!AZ24,"AAAAAG7fsyg=")</f>
        <v>#VALUE!</v>
      </c>
      <c r="AP58" t="e">
        <f>AND('WJP Rule of Law Index 2012-2013'!BA24,"AAAAAG7fsyk=")</f>
        <v>#VALUE!</v>
      </c>
      <c r="AQ58" t="e">
        <f>AND('WJP Rule of Law Index 2012-2013'!BB24,"AAAAAG7fsyo=")</f>
        <v>#VALUE!</v>
      </c>
      <c r="AR58" t="e">
        <f>AND('WJP Rule of Law Index 2012-2013'!BC24,"AAAAAG7fsys=")</f>
        <v>#VALUE!</v>
      </c>
      <c r="AS58" t="e">
        <f>AND('WJP Rule of Law Index 2012-2013'!L25,"AAAAAG7fsyw=")</f>
        <v>#VALUE!</v>
      </c>
      <c r="AT58" t="e">
        <f>AND('WJP Rule of Law Index 2012-2013'!M25,"AAAAAG7fsy0=")</f>
        <v>#VALUE!</v>
      </c>
      <c r="AU58" t="e">
        <f>AND('WJP Rule of Law Index 2012-2013'!N25,"AAAAAG7fsy4=")</f>
        <v>#VALUE!</v>
      </c>
      <c r="AV58" t="e">
        <f>AND('WJP Rule of Law Index 2012-2013'!O25,"AAAAAG7fsy8=")</f>
        <v>#VALUE!</v>
      </c>
      <c r="AW58" t="e">
        <f>AND('WJP Rule of Law Index 2012-2013'!AU25,"AAAAAG7fszA=")</f>
        <v>#VALUE!</v>
      </c>
      <c r="AX58" t="e">
        <f>AND('WJP Rule of Law Index 2012-2013'!AV25,"AAAAAG7fszE=")</f>
        <v>#VALUE!</v>
      </c>
      <c r="AY58" t="e">
        <f>AND('WJP Rule of Law Index 2012-2013'!AW25,"AAAAAG7fszI=")</f>
        <v>#VALUE!</v>
      </c>
      <c r="AZ58" t="e">
        <f>AND('WJP Rule of Law Index 2012-2013'!AX25,"AAAAAG7fszM=")</f>
        <v>#VALUE!</v>
      </c>
      <c r="BA58" t="e">
        <f>AND('WJP Rule of Law Index 2012-2013'!AY25,"AAAAAG7fszQ=")</f>
        <v>#VALUE!</v>
      </c>
      <c r="BB58" t="e">
        <f>AND('WJP Rule of Law Index 2012-2013'!AZ25,"AAAAAG7fszU=")</f>
        <v>#VALUE!</v>
      </c>
      <c r="BC58" t="e">
        <f>AND('WJP Rule of Law Index 2012-2013'!BA25,"AAAAAG7fszY=")</f>
        <v>#VALUE!</v>
      </c>
      <c r="BD58" t="e">
        <f>AND('WJP Rule of Law Index 2012-2013'!BB25,"AAAAAG7fszc=")</f>
        <v>#VALUE!</v>
      </c>
      <c r="BE58" t="e">
        <f>AND('WJP Rule of Law Index 2012-2013'!BC25,"AAAAAG7fszg=")</f>
        <v>#VALUE!</v>
      </c>
      <c r="BF58" t="e">
        <f>AND('WJP Rule of Law Index 2012-2013'!L26,"AAAAAG7fszk=")</f>
        <v>#VALUE!</v>
      </c>
      <c r="BG58" t="e">
        <f>AND('WJP Rule of Law Index 2012-2013'!M26,"AAAAAG7fszo=")</f>
        <v>#VALUE!</v>
      </c>
      <c r="BH58" t="e">
        <f>AND('WJP Rule of Law Index 2012-2013'!N26,"AAAAAG7fszs=")</f>
        <v>#VALUE!</v>
      </c>
      <c r="BI58" t="e">
        <f>AND('WJP Rule of Law Index 2012-2013'!O26,"AAAAAG7fszw=")</f>
        <v>#VALUE!</v>
      </c>
      <c r="BJ58" t="e">
        <f>AND('WJP Rule of Law Index 2012-2013'!AU26,"AAAAAG7fsz0=")</f>
        <v>#VALUE!</v>
      </c>
      <c r="BK58" t="e">
        <f>AND('WJP Rule of Law Index 2012-2013'!AV26,"AAAAAG7fsz4=")</f>
        <v>#VALUE!</v>
      </c>
      <c r="BL58" t="e">
        <f>AND('WJP Rule of Law Index 2012-2013'!AW26,"AAAAAG7fsz8=")</f>
        <v>#VALUE!</v>
      </c>
      <c r="BM58" t="e">
        <f>AND('WJP Rule of Law Index 2012-2013'!AX26,"AAAAAG7fs0A=")</f>
        <v>#VALUE!</v>
      </c>
      <c r="BN58" t="e">
        <f>AND('WJP Rule of Law Index 2012-2013'!AY26,"AAAAAG7fs0E=")</f>
        <v>#VALUE!</v>
      </c>
      <c r="BO58" t="e">
        <f>AND('WJP Rule of Law Index 2012-2013'!AZ26,"AAAAAG7fs0I=")</f>
        <v>#VALUE!</v>
      </c>
      <c r="BP58" t="e">
        <f>AND('WJP Rule of Law Index 2012-2013'!BA26,"AAAAAG7fs0M=")</f>
        <v>#VALUE!</v>
      </c>
      <c r="BQ58" t="e">
        <f>AND('WJP Rule of Law Index 2012-2013'!BB26,"AAAAAG7fs0Q=")</f>
        <v>#VALUE!</v>
      </c>
      <c r="BR58" t="e">
        <f>AND('WJP Rule of Law Index 2012-2013'!BC26,"AAAAAG7fs0U=")</f>
        <v>#VALUE!</v>
      </c>
      <c r="BS58" t="e">
        <f>AND('WJP Rule of Law Index 2012-2013'!L27,"AAAAAG7fs0Y=")</f>
        <v>#VALUE!</v>
      </c>
      <c r="BT58" t="e">
        <f>AND('WJP Rule of Law Index 2012-2013'!M27,"AAAAAG7fs0c=")</f>
        <v>#VALUE!</v>
      </c>
      <c r="BU58" t="e">
        <f>AND('WJP Rule of Law Index 2012-2013'!N27,"AAAAAG7fs0g=")</f>
        <v>#VALUE!</v>
      </c>
      <c r="BV58" t="e">
        <f>AND('WJP Rule of Law Index 2012-2013'!O27,"AAAAAG7fs0k=")</f>
        <v>#VALUE!</v>
      </c>
      <c r="BW58" t="e">
        <f>AND('WJP Rule of Law Index 2012-2013'!AU27,"AAAAAG7fs0o=")</f>
        <v>#VALUE!</v>
      </c>
      <c r="BX58" t="e">
        <f>AND('WJP Rule of Law Index 2012-2013'!AV27,"AAAAAG7fs0s=")</f>
        <v>#VALUE!</v>
      </c>
      <c r="BY58" t="e">
        <f>AND('WJP Rule of Law Index 2012-2013'!AW27,"AAAAAG7fs0w=")</f>
        <v>#VALUE!</v>
      </c>
      <c r="BZ58" t="e">
        <f>AND('WJP Rule of Law Index 2012-2013'!AX27,"AAAAAG7fs00=")</f>
        <v>#VALUE!</v>
      </c>
      <c r="CA58" t="e">
        <f>AND('WJP Rule of Law Index 2012-2013'!AY27,"AAAAAG7fs04=")</f>
        <v>#VALUE!</v>
      </c>
      <c r="CB58" t="e">
        <f>AND('WJP Rule of Law Index 2012-2013'!AZ27,"AAAAAG7fs08=")</f>
        <v>#VALUE!</v>
      </c>
      <c r="CC58" t="e">
        <f>AND('WJP Rule of Law Index 2012-2013'!BA27,"AAAAAG7fs1A=")</f>
        <v>#VALUE!</v>
      </c>
      <c r="CD58" t="e">
        <f>AND('WJP Rule of Law Index 2012-2013'!BB27,"AAAAAG7fs1E=")</f>
        <v>#VALUE!</v>
      </c>
      <c r="CE58" t="e">
        <f>AND('WJP Rule of Law Index 2012-2013'!BC27,"AAAAAG7fs1I=")</f>
        <v>#VALUE!</v>
      </c>
      <c r="CF58" t="e">
        <f>AND('WJP Rule of Law Index 2012-2013'!L28,"AAAAAG7fs1M=")</f>
        <v>#VALUE!</v>
      </c>
      <c r="CG58" t="e">
        <f>AND('WJP Rule of Law Index 2012-2013'!M28,"AAAAAG7fs1Q=")</f>
        <v>#VALUE!</v>
      </c>
      <c r="CH58" t="e">
        <f>AND('WJP Rule of Law Index 2012-2013'!N28,"AAAAAG7fs1U=")</f>
        <v>#VALUE!</v>
      </c>
      <c r="CI58" t="e">
        <f>AND('WJP Rule of Law Index 2012-2013'!O28,"AAAAAG7fs1Y=")</f>
        <v>#VALUE!</v>
      </c>
      <c r="CJ58" t="e">
        <f>AND('WJP Rule of Law Index 2012-2013'!AU28,"AAAAAG7fs1c=")</f>
        <v>#VALUE!</v>
      </c>
      <c r="CK58" t="e">
        <f>AND('WJP Rule of Law Index 2012-2013'!AV28,"AAAAAG7fs1g=")</f>
        <v>#VALUE!</v>
      </c>
      <c r="CL58" t="e">
        <f>AND('WJP Rule of Law Index 2012-2013'!AW28,"AAAAAG7fs1k=")</f>
        <v>#VALUE!</v>
      </c>
      <c r="CM58" t="e">
        <f>AND('WJP Rule of Law Index 2012-2013'!AX28,"AAAAAG7fs1o=")</f>
        <v>#VALUE!</v>
      </c>
      <c r="CN58" t="e">
        <f>AND('WJP Rule of Law Index 2012-2013'!AY28,"AAAAAG7fs1s=")</f>
        <v>#VALUE!</v>
      </c>
      <c r="CO58" t="e">
        <f>AND('WJP Rule of Law Index 2012-2013'!AZ28,"AAAAAG7fs1w=")</f>
        <v>#VALUE!</v>
      </c>
      <c r="CP58" t="e">
        <f>AND('WJP Rule of Law Index 2012-2013'!BA28,"AAAAAG7fs10=")</f>
        <v>#VALUE!</v>
      </c>
      <c r="CQ58" t="e">
        <f>AND('WJP Rule of Law Index 2012-2013'!BB28,"AAAAAG7fs14=")</f>
        <v>#VALUE!</v>
      </c>
      <c r="CR58" t="e">
        <f>AND('WJP Rule of Law Index 2012-2013'!BC28,"AAAAAG7fs18=")</f>
        <v>#VALUE!</v>
      </c>
      <c r="CS58" t="e">
        <f>AND('WJP Rule of Law Index 2012-2013'!L29,"AAAAAG7fs2A=")</f>
        <v>#VALUE!</v>
      </c>
      <c r="CT58" t="e">
        <f>AND('WJP Rule of Law Index 2012-2013'!M29,"AAAAAG7fs2E=")</f>
        <v>#VALUE!</v>
      </c>
      <c r="CU58" t="e">
        <f>AND('WJP Rule of Law Index 2012-2013'!N29,"AAAAAG7fs2I=")</f>
        <v>#VALUE!</v>
      </c>
      <c r="CV58" t="e">
        <f>AND('WJP Rule of Law Index 2012-2013'!O29,"AAAAAG7fs2M=")</f>
        <v>#VALUE!</v>
      </c>
      <c r="CW58" t="e">
        <f>AND('WJP Rule of Law Index 2012-2013'!AU29,"AAAAAG7fs2Q=")</f>
        <v>#VALUE!</v>
      </c>
      <c r="CX58" t="e">
        <f>AND('WJP Rule of Law Index 2012-2013'!AV29,"AAAAAG7fs2U=")</f>
        <v>#VALUE!</v>
      </c>
      <c r="CY58" t="e">
        <f>AND('WJP Rule of Law Index 2012-2013'!AW29,"AAAAAG7fs2Y=")</f>
        <v>#VALUE!</v>
      </c>
      <c r="CZ58" t="e">
        <f>AND('WJP Rule of Law Index 2012-2013'!AX29,"AAAAAG7fs2c=")</f>
        <v>#VALUE!</v>
      </c>
      <c r="DA58" t="e">
        <f>AND('WJP Rule of Law Index 2012-2013'!AY29,"AAAAAG7fs2g=")</f>
        <v>#VALUE!</v>
      </c>
      <c r="DB58" t="e">
        <f>AND('WJP Rule of Law Index 2012-2013'!AZ29,"AAAAAG7fs2k=")</f>
        <v>#VALUE!</v>
      </c>
      <c r="DC58" t="e">
        <f>AND('WJP Rule of Law Index 2012-2013'!BA29,"AAAAAG7fs2o=")</f>
        <v>#VALUE!</v>
      </c>
      <c r="DD58" t="e">
        <f>AND('WJP Rule of Law Index 2012-2013'!BB29,"AAAAAG7fs2s=")</f>
        <v>#VALUE!</v>
      </c>
      <c r="DE58" t="e">
        <f>AND('WJP Rule of Law Index 2012-2013'!BC29,"AAAAAG7fs2w=")</f>
        <v>#VALUE!</v>
      </c>
      <c r="DF58" t="e">
        <f>AND('WJP Rule of Law Index 2012-2013'!L30,"AAAAAG7fs20=")</f>
        <v>#VALUE!</v>
      </c>
      <c r="DG58" t="e">
        <f>AND('WJP Rule of Law Index 2012-2013'!M30,"AAAAAG7fs24=")</f>
        <v>#VALUE!</v>
      </c>
      <c r="DH58" t="e">
        <f>AND('WJP Rule of Law Index 2012-2013'!N30,"AAAAAG7fs28=")</f>
        <v>#VALUE!</v>
      </c>
      <c r="DI58" t="e">
        <f>AND('WJP Rule of Law Index 2012-2013'!O30,"AAAAAG7fs3A=")</f>
        <v>#VALUE!</v>
      </c>
      <c r="DJ58" t="e">
        <f>AND('WJP Rule of Law Index 2012-2013'!AU30,"AAAAAG7fs3E=")</f>
        <v>#VALUE!</v>
      </c>
      <c r="DK58" t="e">
        <f>AND('WJP Rule of Law Index 2012-2013'!AV30,"AAAAAG7fs3I=")</f>
        <v>#VALUE!</v>
      </c>
      <c r="DL58" t="e">
        <f>AND('WJP Rule of Law Index 2012-2013'!AW30,"AAAAAG7fs3M=")</f>
        <v>#VALUE!</v>
      </c>
      <c r="DM58" t="e">
        <f>AND('WJP Rule of Law Index 2012-2013'!AX30,"AAAAAG7fs3Q=")</f>
        <v>#VALUE!</v>
      </c>
      <c r="DN58" t="e">
        <f>AND('WJP Rule of Law Index 2012-2013'!AY30,"AAAAAG7fs3U=")</f>
        <v>#VALUE!</v>
      </c>
      <c r="DO58" t="e">
        <f>AND('WJP Rule of Law Index 2012-2013'!AZ30,"AAAAAG7fs3Y=")</f>
        <v>#VALUE!</v>
      </c>
      <c r="DP58" t="e">
        <f>AND('WJP Rule of Law Index 2012-2013'!BA30,"AAAAAG7fs3c=")</f>
        <v>#VALUE!</v>
      </c>
      <c r="DQ58" t="e">
        <f>AND('WJP Rule of Law Index 2012-2013'!BB30,"AAAAAG7fs3g=")</f>
        <v>#VALUE!</v>
      </c>
      <c r="DR58" t="e">
        <f>AND('WJP Rule of Law Index 2012-2013'!BC30,"AAAAAG7fs3k=")</f>
        <v>#VALUE!</v>
      </c>
      <c r="DS58" t="e">
        <f>AND('WJP Rule of Law Index 2012-2013'!L31,"AAAAAG7fs3o=")</f>
        <v>#VALUE!</v>
      </c>
      <c r="DT58" t="e">
        <f>AND('WJP Rule of Law Index 2012-2013'!M31,"AAAAAG7fs3s=")</f>
        <v>#VALUE!</v>
      </c>
      <c r="DU58" t="e">
        <f>AND('WJP Rule of Law Index 2012-2013'!N31,"AAAAAG7fs3w=")</f>
        <v>#VALUE!</v>
      </c>
      <c r="DV58" t="e">
        <f>AND('WJP Rule of Law Index 2012-2013'!O31,"AAAAAG7fs30=")</f>
        <v>#VALUE!</v>
      </c>
      <c r="DW58" t="e">
        <f>AND('WJP Rule of Law Index 2012-2013'!AU31,"AAAAAG7fs34=")</f>
        <v>#VALUE!</v>
      </c>
      <c r="DX58" t="e">
        <f>AND('WJP Rule of Law Index 2012-2013'!AV31,"AAAAAG7fs38=")</f>
        <v>#VALUE!</v>
      </c>
      <c r="DY58" t="e">
        <f>AND('WJP Rule of Law Index 2012-2013'!AW31,"AAAAAG7fs4A=")</f>
        <v>#VALUE!</v>
      </c>
      <c r="DZ58" t="e">
        <f>AND('WJP Rule of Law Index 2012-2013'!AX31,"AAAAAG7fs4E=")</f>
        <v>#VALUE!</v>
      </c>
      <c r="EA58" t="e">
        <f>AND('WJP Rule of Law Index 2012-2013'!AY31,"AAAAAG7fs4I=")</f>
        <v>#VALUE!</v>
      </c>
      <c r="EB58" t="e">
        <f>AND('WJP Rule of Law Index 2012-2013'!AZ31,"AAAAAG7fs4M=")</f>
        <v>#VALUE!</v>
      </c>
      <c r="EC58" t="e">
        <f>AND('WJP Rule of Law Index 2012-2013'!BA31,"AAAAAG7fs4Q=")</f>
        <v>#VALUE!</v>
      </c>
      <c r="ED58" t="e">
        <f>AND('WJP Rule of Law Index 2012-2013'!BB31,"AAAAAG7fs4U=")</f>
        <v>#VALUE!</v>
      </c>
      <c r="EE58" t="e">
        <f>AND('WJP Rule of Law Index 2012-2013'!BC31,"AAAAAG7fs4Y=")</f>
        <v>#VALUE!</v>
      </c>
      <c r="EF58" t="e">
        <f>AND('WJP Rule of Law Index 2012-2013'!L32,"AAAAAG7fs4c=")</f>
        <v>#VALUE!</v>
      </c>
      <c r="EG58" t="e">
        <f>AND('WJP Rule of Law Index 2012-2013'!M32,"AAAAAG7fs4g=")</f>
        <v>#VALUE!</v>
      </c>
      <c r="EH58" t="e">
        <f>AND('WJP Rule of Law Index 2012-2013'!N32,"AAAAAG7fs4k=")</f>
        <v>#VALUE!</v>
      </c>
      <c r="EI58" t="e">
        <f>AND('WJP Rule of Law Index 2012-2013'!O32,"AAAAAG7fs4o=")</f>
        <v>#VALUE!</v>
      </c>
      <c r="EJ58" t="e">
        <f>AND('WJP Rule of Law Index 2012-2013'!AU32,"AAAAAG7fs4s=")</f>
        <v>#VALUE!</v>
      </c>
      <c r="EK58" t="e">
        <f>AND('WJP Rule of Law Index 2012-2013'!AV32,"AAAAAG7fs4w=")</f>
        <v>#VALUE!</v>
      </c>
      <c r="EL58" t="e">
        <f>AND('WJP Rule of Law Index 2012-2013'!AW32,"AAAAAG7fs40=")</f>
        <v>#VALUE!</v>
      </c>
      <c r="EM58" t="e">
        <f>AND('WJP Rule of Law Index 2012-2013'!AX32,"AAAAAG7fs44=")</f>
        <v>#VALUE!</v>
      </c>
      <c r="EN58" t="e">
        <f>AND('WJP Rule of Law Index 2012-2013'!AY32,"AAAAAG7fs48=")</f>
        <v>#VALUE!</v>
      </c>
      <c r="EO58" t="e">
        <f>AND('WJP Rule of Law Index 2012-2013'!AZ32,"AAAAAG7fs5A=")</f>
        <v>#VALUE!</v>
      </c>
      <c r="EP58" t="e">
        <f>AND('WJP Rule of Law Index 2012-2013'!BA32,"AAAAAG7fs5E=")</f>
        <v>#VALUE!</v>
      </c>
      <c r="EQ58" t="e">
        <f>AND('WJP Rule of Law Index 2012-2013'!BB32,"AAAAAG7fs5I=")</f>
        <v>#VALUE!</v>
      </c>
      <c r="ER58" t="e">
        <f>AND('WJP Rule of Law Index 2012-2013'!BC32,"AAAAAG7fs5M=")</f>
        <v>#VALUE!</v>
      </c>
      <c r="ES58" t="e">
        <f>AND('WJP Rule of Law Index 2012-2013'!L33,"AAAAAG7fs5Q=")</f>
        <v>#VALUE!</v>
      </c>
      <c r="ET58" t="e">
        <f>AND('WJP Rule of Law Index 2012-2013'!M33,"AAAAAG7fs5U=")</f>
        <v>#VALUE!</v>
      </c>
      <c r="EU58" t="e">
        <f>AND('WJP Rule of Law Index 2012-2013'!N33,"AAAAAG7fs5Y=")</f>
        <v>#VALUE!</v>
      </c>
      <c r="EV58" t="e">
        <f>AND('WJP Rule of Law Index 2012-2013'!O33,"AAAAAG7fs5c=")</f>
        <v>#VALUE!</v>
      </c>
      <c r="EW58" t="e">
        <f>AND('WJP Rule of Law Index 2012-2013'!AU33,"AAAAAG7fs5g=")</f>
        <v>#VALUE!</v>
      </c>
      <c r="EX58" t="e">
        <f>AND('WJP Rule of Law Index 2012-2013'!AV33,"AAAAAG7fs5k=")</f>
        <v>#VALUE!</v>
      </c>
      <c r="EY58" t="e">
        <f>AND('WJP Rule of Law Index 2012-2013'!AW33,"AAAAAG7fs5o=")</f>
        <v>#VALUE!</v>
      </c>
      <c r="EZ58" t="e">
        <f>AND('WJP Rule of Law Index 2012-2013'!AX33,"AAAAAG7fs5s=")</f>
        <v>#VALUE!</v>
      </c>
      <c r="FA58" t="e">
        <f>AND('WJP Rule of Law Index 2012-2013'!AY33,"AAAAAG7fs5w=")</f>
        <v>#VALUE!</v>
      </c>
      <c r="FB58" t="e">
        <f>AND('WJP Rule of Law Index 2012-2013'!AZ33,"AAAAAG7fs50=")</f>
        <v>#VALUE!</v>
      </c>
      <c r="FC58" t="e">
        <f>AND('WJP Rule of Law Index 2012-2013'!BA33,"AAAAAG7fs54=")</f>
        <v>#VALUE!</v>
      </c>
      <c r="FD58" t="e">
        <f>AND('WJP Rule of Law Index 2012-2013'!BB33,"AAAAAG7fs58=")</f>
        <v>#VALUE!</v>
      </c>
      <c r="FE58" t="e">
        <f>AND('WJP Rule of Law Index 2012-2013'!BC33,"AAAAAG7fs6A=")</f>
        <v>#VALUE!</v>
      </c>
      <c r="FF58" t="e">
        <f>AND('WJP Rule of Law Index 2012-2013'!L34,"AAAAAG7fs6E=")</f>
        <v>#VALUE!</v>
      </c>
      <c r="FG58" t="e">
        <f>AND('WJP Rule of Law Index 2012-2013'!M34,"AAAAAG7fs6I=")</f>
        <v>#VALUE!</v>
      </c>
      <c r="FH58" t="e">
        <f>AND('WJP Rule of Law Index 2012-2013'!N34,"AAAAAG7fs6M=")</f>
        <v>#VALUE!</v>
      </c>
      <c r="FI58" t="e">
        <f>AND('WJP Rule of Law Index 2012-2013'!O34,"AAAAAG7fs6Q=")</f>
        <v>#VALUE!</v>
      </c>
      <c r="FJ58" t="e">
        <f>AND('WJP Rule of Law Index 2012-2013'!AU34,"AAAAAG7fs6U=")</f>
        <v>#VALUE!</v>
      </c>
      <c r="FK58" t="e">
        <f>AND('WJP Rule of Law Index 2012-2013'!AV34,"AAAAAG7fs6Y=")</f>
        <v>#VALUE!</v>
      </c>
      <c r="FL58" t="e">
        <f>AND('WJP Rule of Law Index 2012-2013'!AW34,"AAAAAG7fs6c=")</f>
        <v>#VALUE!</v>
      </c>
      <c r="FM58" t="e">
        <f>AND('WJP Rule of Law Index 2012-2013'!AX34,"AAAAAG7fs6g=")</f>
        <v>#VALUE!</v>
      </c>
      <c r="FN58" t="e">
        <f>AND('WJP Rule of Law Index 2012-2013'!AY34,"AAAAAG7fs6k=")</f>
        <v>#VALUE!</v>
      </c>
      <c r="FO58" t="e">
        <f>AND('WJP Rule of Law Index 2012-2013'!AZ34,"AAAAAG7fs6o=")</f>
        <v>#VALUE!</v>
      </c>
      <c r="FP58" t="e">
        <f>AND('WJP Rule of Law Index 2012-2013'!BA34,"AAAAAG7fs6s=")</f>
        <v>#VALUE!</v>
      </c>
      <c r="FQ58" t="e">
        <f>AND('WJP Rule of Law Index 2012-2013'!BB34,"AAAAAG7fs6w=")</f>
        <v>#VALUE!</v>
      </c>
      <c r="FR58" t="e">
        <f>AND('WJP Rule of Law Index 2012-2013'!BC34,"AAAAAG7fs60=")</f>
        <v>#VALUE!</v>
      </c>
      <c r="FS58" t="e">
        <f>AND('WJP Rule of Law Index 2012-2013'!L35,"AAAAAG7fs64=")</f>
        <v>#VALUE!</v>
      </c>
      <c r="FT58" t="e">
        <f>AND('WJP Rule of Law Index 2012-2013'!M35,"AAAAAG7fs68=")</f>
        <v>#VALUE!</v>
      </c>
      <c r="FU58" t="e">
        <f>AND('WJP Rule of Law Index 2012-2013'!N35,"AAAAAG7fs7A=")</f>
        <v>#VALUE!</v>
      </c>
      <c r="FV58" t="e">
        <f>AND('WJP Rule of Law Index 2012-2013'!O35,"AAAAAG7fs7E=")</f>
        <v>#VALUE!</v>
      </c>
      <c r="FW58" t="e">
        <f>AND('WJP Rule of Law Index 2012-2013'!AU35,"AAAAAG7fs7I=")</f>
        <v>#VALUE!</v>
      </c>
      <c r="FX58" t="e">
        <f>AND('WJP Rule of Law Index 2012-2013'!AV35,"AAAAAG7fs7M=")</f>
        <v>#VALUE!</v>
      </c>
      <c r="FY58" t="e">
        <f>AND('WJP Rule of Law Index 2012-2013'!AW35,"AAAAAG7fs7Q=")</f>
        <v>#VALUE!</v>
      </c>
      <c r="FZ58" t="e">
        <f>AND('WJP Rule of Law Index 2012-2013'!AX35,"AAAAAG7fs7U=")</f>
        <v>#VALUE!</v>
      </c>
      <c r="GA58" t="e">
        <f>AND('WJP Rule of Law Index 2012-2013'!AY35,"AAAAAG7fs7Y=")</f>
        <v>#VALUE!</v>
      </c>
      <c r="GB58" t="e">
        <f>AND('WJP Rule of Law Index 2012-2013'!AZ35,"AAAAAG7fs7c=")</f>
        <v>#VALUE!</v>
      </c>
      <c r="GC58" t="e">
        <f>AND('WJP Rule of Law Index 2012-2013'!BA35,"AAAAAG7fs7g=")</f>
        <v>#VALUE!</v>
      </c>
      <c r="GD58" t="e">
        <f>AND('WJP Rule of Law Index 2012-2013'!BB35,"AAAAAG7fs7k=")</f>
        <v>#VALUE!</v>
      </c>
      <c r="GE58" t="e">
        <f>AND('WJP Rule of Law Index 2012-2013'!BC35,"AAAAAG7fs7o=")</f>
        <v>#VALUE!</v>
      </c>
      <c r="GF58" t="e">
        <f>AND('WJP Rule of Law Index 2012-2013'!L36,"AAAAAG7fs7s=")</f>
        <v>#VALUE!</v>
      </c>
      <c r="GG58" t="e">
        <f>AND('WJP Rule of Law Index 2012-2013'!M36,"AAAAAG7fs7w=")</f>
        <v>#VALUE!</v>
      </c>
      <c r="GH58" t="e">
        <f>AND('WJP Rule of Law Index 2012-2013'!N36,"AAAAAG7fs70=")</f>
        <v>#VALUE!</v>
      </c>
      <c r="GI58" t="e">
        <f>AND('WJP Rule of Law Index 2012-2013'!O36,"AAAAAG7fs74=")</f>
        <v>#VALUE!</v>
      </c>
      <c r="GJ58" t="e">
        <f>AND('WJP Rule of Law Index 2012-2013'!AU36,"AAAAAG7fs78=")</f>
        <v>#VALUE!</v>
      </c>
      <c r="GK58" t="e">
        <f>AND('WJP Rule of Law Index 2012-2013'!AV36,"AAAAAG7fs8A=")</f>
        <v>#VALUE!</v>
      </c>
      <c r="GL58" t="e">
        <f>AND('WJP Rule of Law Index 2012-2013'!AW36,"AAAAAG7fs8E=")</f>
        <v>#VALUE!</v>
      </c>
      <c r="GM58" t="e">
        <f>AND('WJP Rule of Law Index 2012-2013'!AX36,"AAAAAG7fs8I=")</f>
        <v>#VALUE!</v>
      </c>
      <c r="GN58" t="e">
        <f>AND('WJP Rule of Law Index 2012-2013'!AY36,"AAAAAG7fs8M=")</f>
        <v>#VALUE!</v>
      </c>
      <c r="GO58" t="e">
        <f>AND('WJP Rule of Law Index 2012-2013'!AZ36,"AAAAAG7fs8Q=")</f>
        <v>#VALUE!</v>
      </c>
      <c r="GP58" t="e">
        <f>AND('WJP Rule of Law Index 2012-2013'!BA36,"AAAAAG7fs8U=")</f>
        <v>#VALUE!</v>
      </c>
      <c r="GQ58" t="e">
        <f>AND('WJP Rule of Law Index 2012-2013'!BB36,"AAAAAG7fs8Y=")</f>
        <v>#VALUE!</v>
      </c>
      <c r="GR58" t="e">
        <f>AND('WJP Rule of Law Index 2012-2013'!BC36,"AAAAAG7fs8c=")</f>
        <v>#VALUE!</v>
      </c>
      <c r="GS58" t="e">
        <f>AND('WJP Rule of Law Index 2012-2013'!L37,"AAAAAG7fs8g=")</f>
        <v>#VALUE!</v>
      </c>
      <c r="GT58" t="e">
        <f>AND('WJP Rule of Law Index 2012-2013'!M37,"AAAAAG7fs8k=")</f>
        <v>#VALUE!</v>
      </c>
      <c r="GU58" t="e">
        <f>AND('WJP Rule of Law Index 2012-2013'!N37,"AAAAAG7fs8o=")</f>
        <v>#VALUE!</v>
      </c>
      <c r="GV58" t="e">
        <f>AND('WJP Rule of Law Index 2012-2013'!O37,"AAAAAG7fs8s=")</f>
        <v>#VALUE!</v>
      </c>
      <c r="GW58" t="e">
        <f>AND('WJP Rule of Law Index 2012-2013'!AU37,"AAAAAG7fs8w=")</f>
        <v>#VALUE!</v>
      </c>
      <c r="GX58" t="e">
        <f>AND('WJP Rule of Law Index 2012-2013'!AV37,"AAAAAG7fs80=")</f>
        <v>#VALUE!</v>
      </c>
      <c r="GY58" t="e">
        <f>AND('WJP Rule of Law Index 2012-2013'!AW37,"AAAAAG7fs84=")</f>
        <v>#VALUE!</v>
      </c>
      <c r="GZ58" t="e">
        <f>AND('WJP Rule of Law Index 2012-2013'!AX37,"AAAAAG7fs88=")</f>
        <v>#VALUE!</v>
      </c>
      <c r="HA58" t="e">
        <f>AND('WJP Rule of Law Index 2012-2013'!AY37,"AAAAAG7fs9A=")</f>
        <v>#VALUE!</v>
      </c>
      <c r="HB58" t="e">
        <f>AND('WJP Rule of Law Index 2012-2013'!AZ37,"AAAAAG7fs9E=")</f>
        <v>#VALUE!</v>
      </c>
      <c r="HC58" t="e">
        <f>AND('WJP Rule of Law Index 2012-2013'!BA37,"AAAAAG7fs9I=")</f>
        <v>#VALUE!</v>
      </c>
      <c r="HD58" t="e">
        <f>AND('WJP Rule of Law Index 2012-2013'!BB37,"AAAAAG7fs9M=")</f>
        <v>#VALUE!</v>
      </c>
      <c r="HE58" t="e">
        <f>AND('WJP Rule of Law Index 2012-2013'!BC37,"AAAAAG7fs9Q=")</f>
        <v>#VALUE!</v>
      </c>
      <c r="HF58" t="e">
        <f>AND('WJP Rule of Law Index 2012-2013'!L38,"AAAAAG7fs9U=")</f>
        <v>#VALUE!</v>
      </c>
      <c r="HG58" t="e">
        <f>AND('WJP Rule of Law Index 2012-2013'!M38,"AAAAAG7fs9Y=")</f>
        <v>#VALUE!</v>
      </c>
      <c r="HH58" t="e">
        <f>AND('WJP Rule of Law Index 2012-2013'!N38,"AAAAAG7fs9c=")</f>
        <v>#VALUE!</v>
      </c>
      <c r="HI58" t="e">
        <f>AND('WJP Rule of Law Index 2012-2013'!O38,"AAAAAG7fs9g=")</f>
        <v>#VALUE!</v>
      </c>
      <c r="HJ58" t="e">
        <f>AND('WJP Rule of Law Index 2012-2013'!AU38,"AAAAAG7fs9k=")</f>
        <v>#VALUE!</v>
      </c>
      <c r="HK58" t="e">
        <f>AND('WJP Rule of Law Index 2012-2013'!AV38,"AAAAAG7fs9o=")</f>
        <v>#VALUE!</v>
      </c>
      <c r="HL58" t="e">
        <f>AND('WJP Rule of Law Index 2012-2013'!AW38,"AAAAAG7fs9s=")</f>
        <v>#VALUE!</v>
      </c>
      <c r="HM58" t="e">
        <f>AND('WJP Rule of Law Index 2012-2013'!AX38,"AAAAAG7fs9w=")</f>
        <v>#VALUE!</v>
      </c>
      <c r="HN58" t="e">
        <f>AND('WJP Rule of Law Index 2012-2013'!AY38,"AAAAAG7fs90=")</f>
        <v>#VALUE!</v>
      </c>
      <c r="HO58" t="e">
        <f>AND('WJP Rule of Law Index 2012-2013'!AZ38,"AAAAAG7fs94=")</f>
        <v>#VALUE!</v>
      </c>
      <c r="HP58" t="e">
        <f>AND('WJP Rule of Law Index 2012-2013'!BA38,"AAAAAG7fs98=")</f>
        <v>#VALUE!</v>
      </c>
      <c r="HQ58" t="e">
        <f>AND('WJP Rule of Law Index 2012-2013'!BB38,"AAAAAG7fs+A=")</f>
        <v>#VALUE!</v>
      </c>
      <c r="HR58" t="e">
        <f>AND('WJP Rule of Law Index 2012-2013'!BC38,"AAAAAG7fs+E=")</f>
        <v>#VALUE!</v>
      </c>
      <c r="HS58" t="e">
        <f>AND('WJP Rule of Law Index 2012-2013'!L39,"AAAAAG7fs+I=")</f>
        <v>#VALUE!</v>
      </c>
      <c r="HT58" t="e">
        <f>AND('WJP Rule of Law Index 2012-2013'!M39,"AAAAAG7fs+M=")</f>
        <v>#VALUE!</v>
      </c>
      <c r="HU58" t="e">
        <f>AND('WJP Rule of Law Index 2012-2013'!N39,"AAAAAG7fs+Q=")</f>
        <v>#VALUE!</v>
      </c>
      <c r="HV58" t="e">
        <f>AND('WJP Rule of Law Index 2012-2013'!O39,"AAAAAG7fs+U=")</f>
        <v>#VALUE!</v>
      </c>
      <c r="HW58" t="e">
        <f>AND('WJP Rule of Law Index 2012-2013'!AU39,"AAAAAG7fs+Y=")</f>
        <v>#VALUE!</v>
      </c>
      <c r="HX58" t="e">
        <f>AND('WJP Rule of Law Index 2012-2013'!AV39,"AAAAAG7fs+c=")</f>
        <v>#VALUE!</v>
      </c>
      <c r="HY58" t="e">
        <f>AND('WJP Rule of Law Index 2012-2013'!AW39,"AAAAAG7fs+g=")</f>
        <v>#VALUE!</v>
      </c>
      <c r="HZ58" t="e">
        <f>AND('WJP Rule of Law Index 2012-2013'!AX39,"AAAAAG7fs+k=")</f>
        <v>#VALUE!</v>
      </c>
      <c r="IA58" t="e">
        <f>AND('WJP Rule of Law Index 2012-2013'!AY39,"AAAAAG7fs+o=")</f>
        <v>#VALUE!</v>
      </c>
      <c r="IB58" t="e">
        <f>AND('WJP Rule of Law Index 2012-2013'!AZ39,"AAAAAG7fs+s=")</f>
        <v>#VALUE!</v>
      </c>
      <c r="IC58" t="e">
        <f>AND('WJP Rule of Law Index 2012-2013'!BA39,"AAAAAG7fs+w=")</f>
        <v>#VALUE!</v>
      </c>
      <c r="ID58" t="e">
        <f>AND('WJP Rule of Law Index 2012-2013'!BB39,"AAAAAG7fs+0=")</f>
        <v>#VALUE!</v>
      </c>
      <c r="IE58" t="e">
        <f>AND('WJP Rule of Law Index 2012-2013'!BC39,"AAAAAG7fs+4=")</f>
        <v>#VALUE!</v>
      </c>
      <c r="IF58" t="e">
        <f>AND('WJP Rule of Law Index 2012-2013'!L40,"AAAAAG7fs+8=")</f>
        <v>#VALUE!</v>
      </c>
      <c r="IG58" t="e">
        <f>AND('WJP Rule of Law Index 2012-2013'!M40,"AAAAAG7fs/A=")</f>
        <v>#VALUE!</v>
      </c>
      <c r="IH58" t="e">
        <f>AND('WJP Rule of Law Index 2012-2013'!N40,"AAAAAG7fs/E=")</f>
        <v>#VALUE!</v>
      </c>
      <c r="II58" t="e">
        <f>AND('WJP Rule of Law Index 2012-2013'!O40,"AAAAAG7fs/I=")</f>
        <v>#VALUE!</v>
      </c>
      <c r="IJ58" t="e">
        <f>AND('WJP Rule of Law Index 2012-2013'!AU40,"AAAAAG7fs/M=")</f>
        <v>#VALUE!</v>
      </c>
      <c r="IK58" t="e">
        <f>AND('WJP Rule of Law Index 2012-2013'!AV40,"AAAAAG7fs/Q=")</f>
        <v>#VALUE!</v>
      </c>
      <c r="IL58" t="e">
        <f>AND('WJP Rule of Law Index 2012-2013'!AW40,"AAAAAG7fs/U=")</f>
        <v>#VALUE!</v>
      </c>
      <c r="IM58" t="e">
        <f>AND('WJP Rule of Law Index 2012-2013'!AX40,"AAAAAG7fs/Y=")</f>
        <v>#VALUE!</v>
      </c>
      <c r="IN58" t="e">
        <f>AND('WJP Rule of Law Index 2012-2013'!AY40,"AAAAAG7fs/c=")</f>
        <v>#VALUE!</v>
      </c>
      <c r="IO58" t="e">
        <f>AND('WJP Rule of Law Index 2012-2013'!AZ40,"AAAAAG7fs/g=")</f>
        <v>#VALUE!</v>
      </c>
      <c r="IP58" t="e">
        <f>AND('WJP Rule of Law Index 2012-2013'!BA40,"AAAAAG7fs/k=")</f>
        <v>#VALUE!</v>
      </c>
      <c r="IQ58" t="e">
        <f>AND('WJP Rule of Law Index 2012-2013'!BB40,"AAAAAG7fs/o=")</f>
        <v>#VALUE!</v>
      </c>
      <c r="IR58" t="e">
        <f>AND('WJP Rule of Law Index 2012-2013'!BC40,"AAAAAG7fs/s=")</f>
        <v>#VALUE!</v>
      </c>
      <c r="IS58" t="e">
        <f>AND('WJP Rule of Law Index 2012-2013'!L41,"AAAAAG7fs/w=")</f>
        <v>#VALUE!</v>
      </c>
      <c r="IT58" t="e">
        <f>AND('WJP Rule of Law Index 2012-2013'!M41,"AAAAAG7fs/0=")</f>
        <v>#VALUE!</v>
      </c>
      <c r="IU58" t="e">
        <f>AND('WJP Rule of Law Index 2012-2013'!N41,"AAAAAG7fs/4=")</f>
        <v>#VALUE!</v>
      </c>
      <c r="IV58" t="e">
        <f>AND('WJP Rule of Law Index 2012-2013'!O41,"AAAAAG7fs/8=")</f>
        <v>#VALUE!</v>
      </c>
    </row>
    <row r="59" spans="1:256" ht="15">
      <c r="A59" t="e">
        <f>AND('WJP Rule of Law Index 2012-2013'!AU41,"AAAAACf9vAA=")</f>
        <v>#VALUE!</v>
      </c>
      <c r="B59" t="e">
        <f>AND('WJP Rule of Law Index 2012-2013'!AV41,"AAAAACf9vAE=")</f>
        <v>#VALUE!</v>
      </c>
      <c r="C59" t="e">
        <f>AND('WJP Rule of Law Index 2012-2013'!AW41,"AAAAACf9vAI=")</f>
        <v>#VALUE!</v>
      </c>
      <c r="D59" t="e">
        <f>AND('WJP Rule of Law Index 2012-2013'!AX41,"AAAAACf9vAM=")</f>
        <v>#VALUE!</v>
      </c>
      <c r="E59" t="e">
        <f>AND('WJP Rule of Law Index 2012-2013'!AY41,"AAAAACf9vAQ=")</f>
        <v>#VALUE!</v>
      </c>
      <c r="F59" t="e">
        <f>AND('WJP Rule of Law Index 2012-2013'!AZ41,"AAAAACf9vAU=")</f>
        <v>#VALUE!</v>
      </c>
      <c r="G59" t="e">
        <f>AND('WJP Rule of Law Index 2012-2013'!BA41,"AAAAACf9vAY=")</f>
        <v>#VALUE!</v>
      </c>
      <c r="H59" t="e">
        <f>AND('WJP Rule of Law Index 2012-2013'!BB41,"AAAAACf9vAc=")</f>
        <v>#VALUE!</v>
      </c>
      <c r="I59" t="e">
        <f>AND('WJP Rule of Law Index 2012-2013'!BC41,"AAAAACf9vAg=")</f>
        <v>#VALUE!</v>
      </c>
      <c r="J59" t="e">
        <f>AND('WJP Rule of Law Index 2012-2013'!L42,"AAAAACf9vAk=")</f>
        <v>#VALUE!</v>
      </c>
      <c r="K59" t="e">
        <f>AND('WJP Rule of Law Index 2012-2013'!M42,"AAAAACf9vAo=")</f>
        <v>#VALUE!</v>
      </c>
      <c r="L59" t="e">
        <f>AND('WJP Rule of Law Index 2012-2013'!N42,"AAAAACf9vAs=")</f>
        <v>#VALUE!</v>
      </c>
      <c r="M59" t="e">
        <f>AND('WJP Rule of Law Index 2012-2013'!O42,"AAAAACf9vAw=")</f>
        <v>#VALUE!</v>
      </c>
      <c r="N59" t="e">
        <f>AND('WJP Rule of Law Index 2012-2013'!AU42,"AAAAACf9vA0=")</f>
        <v>#VALUE!</v>
      </c>
      <c r="O59" t="e">
        <f>AND('WJP Rule of Law Index 2012-2013'!AV42,"AAAAACf9vA4=")</f>
        <v>#VALUE!</v>
      </c>
      <c r="P59" t="e">
        <f>AND('WJP Rule of Law Index 2012-2013'!AW42,"AAAAACf9vA8=")</f>
        <v>#VALUE!</v>
      </c>
      <c r="Q59" t="e">
        <f>AND('WJP Rule of Law Index 2012-2013'!AX42,"AAAAACf9vBA=")</f>
        <v>#VALUE!</v>
      </c>
      <c r="R59" t="e">
        <f>AND('WJP Rule of Law Index 2012-2013'!AY42,"AAAAACf9vBE=")</f>
        <v>#VALUE!</v>
      </c>
      <c r="S59" t="e">
        <f>AND('WJP Rule of Law Index 2012-2013'!AZ42,"AAAAACf9vBI=")</f>
        <v>#VALUE!</v>
      </c>
      <c r="T59" t="e">
        <f>AND('WJP Rule of Law Index 2012-2013'!BA42,"AAAAACf9vBM=")</f>
        <v>#VALUE!</v>
      </c>
      <c r="U59" t="e">
        <f>AND('WJP Rule of Law Index 2012-2013'!BB42,"AAAAACf9vBQ=")</f>
        <v>#VALUE!</v>
      </c>
      <c r="V59" t="e">
        <f>AND('WJP Rule of Law Index 2012-2013'!BC42,"AAAAACf9vBU=")</f>
        <v>#VALUE!</v>
      </c>
      <c r="W59" t="e">
        <f>AND('WJP Rule of Law Index 2012-2013'!L43,"AAAAACf9vBY=")</f>
        <v>#VALUE!</v>
      </c>
      <c r="X59" t="e">
        <f>AND('WJP Rule of Law Index 2012-2013'!M43,"AAAAACf9vBc=")</f>
        <v>#VALUE!</v>
      </c>
      <c r="Y59" t="e">
        <f>AND('WJP Rule of Law Index 2012-2013'!N43,"AAAAACf9vBg=")</f>
        <v>#VALUE!</v>
      </c>
      <c r="Z59" t="e">
        <f>AND('WJP Rule of Law Index 2012-2013'!O43,"AAAAACf9vBk=")</f>
        <v>#VALUE!</v>
      </c>
      <c r="AA59" t="e">
        <f>AND('WJP Rule of Law Index 2012-2013'!AU43,"AAAAACf9vBo=")</f>
        <v>#VALUE!</v>
      </c>
      <c r="AB59" t="e">
        <f>AND('WJP Rule of Law Index 2012-2013'!AV43,"AAAAACf9vBs=")</f>
        <v>#VALUE!</v>
      </c>
      <c r="AC59" t="e">
        <f>AND('WJP Rule of Law Index 2012-2013'!AW43,"AAAAACf9vBw=")</f>
        <v>#VALUE!</v>
      </c>
      <c r="AD59" t="e">
        <f>AND('WJP Rule of Law Index 2012-2013'!AX43,"AAAAACf9vB0=")</f>
        <v>#VALUE!</v>
      </c>
      <c r="AE59" t="e">
        <f>AND('WJP Rule of Law Index 2012-2013'!AY43,"AAAAACf9vB4=")</f>
        <v>#VALUE!</v>
      </c>
      <c r="AF59" t="e">
        <f>AND('WJP Rule of Law Index 2012-2013'!AZ43,"AAAAACf9vB8=")</f>
        <v>#VALUE!</v>
      </c>
      <c r="AG59" t="e">
        <f>AND('WJP Rule of Law Index 2012-2013'!BA43,"AAAAACf9vCA=")</f>
        <v>#VALUE!</v>
      </c>
      <c r="AH59" t="e">
        <f>AND('WJP Rule of Law Index 2012-2013'!BB43,"AAAAACf9vCE=")</f>
        <v>#VALUE!</v>
      </c>
      <c r="AI59" t="e">
        <f>AND('WJP Rule of Law Index 2012-2013'!BC43,"AAAAACf9vCI=")</f>
        <v>#VALUE!</v>
      </c>
      <c r="AJ59" t="e">
        <f>AND('WJP Rule of Law Index 2012-2013'!L44,"AAAAACf9vCM=")</f>
        <v>#VALUE!</v>
      </c>
      <c r="AK59" t="e">
        <f>AND('WJP Rule of Law Index 2012-2013'!M44,"AAAAACf9vCQ=")</f>
        <v>#VALUE!</v>
      </c>
      <c r="AL59" t="e">
        <f>AND('WJP Rule of Law Index 2012-2013'!N44,"AAAAACf9vCU=")</f>
        <v>#VALUE!</v>
      </c>
      <c r="AM59" t="e">
        <f>AND('WJP Rule of Law Index 2012-2013'!O44,"AAAAACf9vCY=")</f>
        <v>#VALUE!</v>
      </c>
      <c r="AN59" t="e">
        <f>AND('WJP Rule of Law Index 2012-2013'!AU44,"AAAAACf9vCc=")</f>
        <v>#VALUE!</v>
      </c>
      <c r="AO59" t="e">
        <f>AND('WJP Rule of Law Index 2012-2013'!AV44,"AAAAACf9vCg=")</f>
        <v>#VALUE!</v>
      </c>
      <c r="AP59" t="e">
        <f>AND('WJP Rule of Law Index 2012-2013'!AW44,"AAAAACf9vCk=")</f>
        <v>#VALUE!</v>
      </c>
      <c r="AQ59" t="e">
        <f>AND('WJP Rule of Law Index 2012-2013'!AX44,"AAAAACf9vCo=")</f>
        <v>#VALUE!</v>
      </c>
      <c r="AR59" t="e">
        <f>AND('WJP Rule of Law Index 2012-2013'!AY44,"AAAAACf9vCs=")</f>
        <v>#VALUE!</v>
      </c>
      <c r="AS59" t="e">
        <f>AND('WJP Rule of Law Index 2012-2013'!AZ44,"AAAAACf9vCw=")</f>
        <v>#VALUE!</v>
      </c>
      <c r="AT59" t="e">
        <f>AND('WJP Rule of Law Index 2012-2013'!BA44,"AAAAACf9vC0=")</f>
        <v>#VALUE!</v>
      </c>
      <c r="AU59" t="e">
        <f>AND('WJP Rule of Law Index 2012-2013'!BB44,"AAAAACf9vC4=")</f>
        <v>#VALUE!</v>
      </c>
      <c r="AV59" t="e">
        <f>AND('WJP Rule of Law Index 2012-2013'!BC44,"AAAAACf9vC8=")</f>
        <v>#VALUE!</v>
      </c>
      <c r="AW59" t="e">
        <f>AND('WJP Rule of Law Index 2012-2013'!L45,"AAAAACf9vDA=")</f>
        <v>#VALUE!</v>
      </c>
      <c r="AX59" t="e">
        <f>AND('WJP Rule of Law Index 2012-2013'!M45,"AAAAACf9vDE=")</f>
        <v>#VALUE!</v>
      </c>
      <c r="AY59" t="e">
        <f>AND('WJP Rule of Law Index 2012-2013'!N45,"AAAAACf9vDI=")</f>
        <v>#VALUE!</v>
      </c>
      <c r="AZ59" t="e">
        <f>AND('WJP Rule of Law Index 2012-2013'!O45,"AAAAACf9vDM=")</f>
        <v>#VALUE!</v>
      </c>
      <c r="BA59" t="e">
        <f>AND('WJP Rule of Law Index 2012-2013'!AU45,"AAAAACf9vDQ=")</f>
        <v>#VALUE!</v>
      </c>
      <c r="BB59" t="e">
        <f>AND('WJP Rule of Law Index 2012-2013'!AV45,"AAAAACf9vDU=")</f>
        <v>#VALUE!</v>
      </c>
      <c r="BC59" t="e">
        <f>AND('WJP Rule of Law Index 2012-2013'!AW45,"AAAAACf9vDY=")</f>
        <v>#VALUE!</v>
      </c>
      <c r="BD59" t="e">
        <f>AND('WJP Rule of Law Index 2012-2013'!AX45,"AAAAACf9vDc=")</f>
        <v>#VALUE!</v>
      </c>
      <c r="BE59" t="e">
        <f>AND('WJP Rule of Law Index 2012-2013'!AY45,"AAAAACf9vDg=")</f>
        <v>#VALUE!</v>
      </c>
      <c r="BF59" t="e">
        <f>AND('WJP Rule of Law Index 2012-2013'!AZ45,"AAAAACf9vDk=")</f>
        <v>#VALUE!</v>
      </c>
      <c r="BG59" t="e">
        <f>AND('WJP Rule of Law Index 2012-2013'!BA45,"AAAAACf9vDo=")</f>
        <v>#VALUE!</v>
      </c>
      <c r="BH59" t="e">
        <f>AND('WJP Rule of Law Index 2012-2013'!BB45,"AAAAACf9vDs=")</f>
        <v>#VALUE!</v>
      </c>
      <c r="BI59" t="e">
        <f>AND('WJP Rule of Law Index 2012-2013'!BC45,"AAAAACf9vDw=")</f>
        <v>#VALUE!</v>
      </c>
      <c r="BJ59" t="e">
        <f>AND('WJP Rule of Law Index 2012-2013'!L46,"AAAAACf9vD0=")</f>
        <v>#VALUE!</v>
      </c>
      <c r="BK59" t="e">
        <f>AND('WJP Rule of Law Index 2012-2013'!M46,"AAAAACf9vD4=")</f>
        <v>#VALUE!</v>
      </c>
      <c r="BL59" t="e">
        <f>AND('WJP Rule of Law Index 2012-2013'!N46,"AAAAACf9vD8=")</f>
        <v>#VALUE!</v>
      </c>
      <c r="BM59" t="e">
        <f>AND('WJP Rule of Law Index 2012-2013'!O46,"AAAAACf9vEA=")</f>
        <v>#VALUE!</v>
      </c>
      <c r="BN59" t="e">
        <f>AND('WJP Rule of Law Index 2012-2013'!AU46,"AAAAACf9vEE=")</f>
        <v>#VALUE!</v>
      </c>
      <c r="BO59" t="e">
        <f>AND('WJP Rule of Law Index 2012-2013'!AV46,"AAAAACf9vEI=")</f>
        <v>#VALUE!</v>
      </c>
      <c r="BP59" t="e">
        <f>AND('WJP Rule of Law Index 2012-2013'!AW46,"AAAAACf9vEM=")</f>
        <v>#VALUE!</v>
      </c>
      <c r="BQ59" t="e">
        <f>AND('WJP Rule of Law Index 2012-2013'!AX46,"AAAAACf9vEQ=")</f>
        <v>#VALUE!</v>
      </c>
      <c r="BR59" t="e">
        <f>AND('WJP Rule of Law Index 2012-2013'!AY46,"AAAAACf9vEU=")</f>
        <v>#VALUE!</v>
      </c>
      <c r="BS59" t="e">
        <f>AND('WJP Rule of Law Index 2012-2013'!AZ46,"AAAAACf9vEY=")</f>
        <v>#VALUE!</v>
      </c>
      <c r="BT59" t="e">
        <f>AND('WJP Rule of Law Index 2012-2013'!BA46,"AAAAACf9vEc=")</f>
        <v>#VALUE!</v>
      </c>
      <c r="BU59" t="e">
        <f>AND('WJP Rule of Law Index 2012-2013'!BB46,"AAAAACf9vEg=")</f>
        <v>#VALUE!</v>
      </c>
      <c r="BV59" t="e">
        <f>AND('WJP Rule of Law Index 2012-2013'!BC46,"AAAAACf9vEk=")</f>
        <v>#VALUE!</v>
      </c>
      <c r="BW59" t="e">
        <f>AND('WJP Rule of Law Index 2012-2013'!L47,"AAAAACf9vEo=")</f>
        <v>#VALUE!</v>
      </c>
      <c r="BX59" t="e">
        <f>AND('WJP Rule of Law Index 2012-2013'!M47,"AAAAACf9vEs=")</f>
        <v>#VALUE!</v>
      </c>
      <c r="BY59" t="e">
        <f>AND('WJP Rule of Law Index 2012-2013'!N47,"AAAAACf9vEw=")</f>
        <v>#VALUE!</v>
      </c>
      <c r="BZ59" t="e">
        <f>AND('WJP Rule of Law Index 2012-2013'!O47,"AAAAACf9vE0=")</f>
        <v>#VALUE!</v>
      </c>
      <c r="CA59" t="e">
        <f>AND('WJP Rule of Law Index 2012-2013'!AU47,"AAAAACf9vE4=")</f>
        <v>#VALUE!</v>
      </c>
      <c r="CB59" t="e">
        <f>AND('WJP Rule of Law Index 2012-2013'!AV47,"AAAAACf9vE8=")</f>
        <v>#VALUE!</v>
      </c>
      <c r="CC59" t="e">
        <f>AND('WJP Rule of Law Index 2012-2013'!AW47,"AAAAACf9vFA=")</f>
        <v>#VALUE!</v>
      </c>
      <c r="CD59" t="e">
        <f>AND('WJP Rule of Law Index 2012-2013'!AX47,"AAAAACf9vFE=")</f>
        <v>#VALUE!</v>
      </c>
      <c r="CE59" t="e">
        <f>AND('WJP Rule of Law Index 2012-2013'!AY47,"AAAAACf9vFI=")</f>
        <v>#VALUE!</v>
      </c>
      <c r="CF59" t="e">
        <f>AND('WJP Rule of Law Index 2012-2013'!AZ47,"AAAAACf9vFM=")</f>
        <v>#VALUE!</v>
      </c>
      <c r="CG59" t="e">
        <f>AND('WJP Rule of Law Index 2012-2013'!BA47,"AAAAACf9vFQ=")</f>
        <v>#VALUE!</v>
      </c>
      <c r="CH59" t="e">
        <f>AND('WJP Rule of Law Index 2012-2013'!BB47,"AAAAACf9vFU=")</f>
        <v>#VALUE!</v>
      </c>
      <c r="CI59" t="e">
        <f>AND('WJP Rule of Law Index 2012-2013'!BC47,"AAAAACf9vFY=")</f>
        <v>#VALUE!</v>
      </c>
      <c r="CJ59" t="e">
        <f>AND('WJP Rule of Law Index 2012-2013'!L48,"AAAAACf9vFc=")</f>
        <v>#VALUE!</v>
      </c>
      <c r="CK59" t="e">
        <f>AND('WJP Rule of Law Index 2012-2013'!M48,"AAAAACf9vFg=")</f>
        <v>#VALUE!</v>
      </c>
      <c r="CL59" t="e">
        <f>AND('WJP Rule of Law Index 2012-2013'!N48,"AAAAACf9vFk=")</f>
        <v>#VALUE!</v>
      </c>
      <c r="CM59" t="e">
        <f>AND('WJP Rule of Law Index 2012-2013'!O48,"AAAAACf9vFo=")</f>
        <v>#VALUE!</v>
      </c>
      <c r="CN59" t="e">
        <f>AND('WJP Rule of Law Index 2012-2013'!AU48,"AAAAACf9vFs=")</f>
        <v>#VALUE!</v>
      </c>
      <c r="CO59" t="e">
        <f>AND('WJP Rule of Law Index 2012-2013'!AV48,"AAAAACf9vFw=")</f>
        <v>#VALUE!</v>
      </c>
      <c r="CP59" t="e">
        <f>AND('WJP Rule of Law Index 2012-2013'!AW48,"AAAAACf9vF0=")</f>
        <v>#VALUE!</v>
      </c>
      <c r="CQ59" t="e">
        <f>AND('WJP Rule of Law Index 2012-2013'!AX48,"AAAAACf9vF4=")</f>
        <v>#VALUE!</v>
      </c>
      <c r="CR59" t="e">
        <f>AND('WJP Rule of Law Index 2012-2013'!AY48,"AAAAACf9vF8=")</f>
        <v>#VALUE!</v>
      </c>
      <c r="CS59" t="e">
        <f>AND('WJP Rule of Law Index 2012-2013'!AZ48,"AAAAACf9vGA=")</f>
        <v>#VALUE!</v>
      </c>
      <c r="CT59" t="e">
        <f>AND('WJP Rule of Law Index 2012-2013'!BA48,"AAAAACf9vGE=")</f>
        <v>#VALUE!</v>
      </c>
      <c r="CU59" t="e">
        <f>AND('WJP Rule of Law Index 2012-2013'!BB48,"AAAAACf9vGI=")</f>
        <v>#VALUE!</v>
      </c>
      <c r="CV59" t="e">
        <f>AND('WJP Rule of Law Index 2012-2013'!BC48,"AAAAACf9vGM=")</f>
        <v>#VALUE!</v>
      </c>
      <c r="CW59" t="e">
        <f>AND('WJP Rule of Law Index 2012-2013'!L49,"AAAAACf9vGQ=")</f>
        <v>#VALUE!</v>
      </c>
      <c r="CX59" t="e">
        <f>AND('WJP Rule of Law Index 2012-2013'!M49,"AAAAACf9vGU=")</f>
        <v>#VALUE!</v>
      </c>
      <c r="CY59" t="e">
        <f>AND('WJP Rule of Law Index 2012-2013'!N49,"AAAAACf9vGY=")</f>
        <v>#VALUE!</v>
      </c>
      <c r="CZ59" t="e">
        <f>AND('WJP Rule of Law Index 2012-2013'!O49,"AAAAACf9vGc=")</f>
        <v>#VALUE!</v>
      </c>
      <c r="DA59" t="e">
        <f>AND('WJP Rule of Law Index 2012-2013'!AU49,"AAAAACf9vGg=")</f>
        <v>#VALUE!</v>
      </c>
      <c r="DB59" t="e">
        <f>AND('WJP Rule of Law Index 2012-2013'!AV49,"AAAAACf9vGk=")</f>
        <v>#VALUE!</v>
      </c>
      <c r="DC59" t="e">
        <f>AND('WJP Rule of Law Index 2012-2013'!AW49,"AAAAACf9vGo=")</f>
        <v>#VALUE!</v>
      </c>
      <c r="DD59" t="e">
        <f>AND('WJP Rule of Law Index 2012-2013'!AX49,"AAAAACf9vGs=")</f>
        <v>#VALUE!</v>
      </c>
      <c r="DE59" t="e">
        <f>AND('WJP Rule of Law Index 2012-2013'!AY49,"AAAAACf9vGw=")</f>
        <v>#VALUE!</v>
      </c>
      <c r="DF59" t="e">
        <f>AND('WJP Rule of Law Index 2012-2013'!AZ49,"AAAAACf9vG0=")</f>
        <v>#VALUE!</v>
      </c>
      <c r="DG59" t="e">
        <f>AND('WJP Rule of Law Index 2012-2013'!BA49,"AAAAACf9vG4=")</f>
        <v>#VALUE!</v>
      </c>
      <c r="DH59" t="e">
        <f>AND('WJP Rule of Law Index 2012-2013'!BB49,"AAAAACf9vG8=")</f>
        <v>#VALUE!</v>
      </c>
      <c r="DI59" t="e">
        <f>AND('WJP Rule of Law Index 2012-2013'!BC49,"AAAAACf9vHA=")</f>
        <v>#VALUE!</v>
      </c>
      <c r="DJ59" t="e">
        <f>AND('WJP Rule of Law Index 2012-2013'!L50,"AAAAACf9vHE=")</f>
        <v>#VALUE!</v>
      </c>
      <c r="DK59" t="e">
        <f>AND('WJP Rule of Law Index 2012-2013'!M50,"AAAAACf9vHI=")</f>
        <v>#VALUE!</v>
      </c>
      <c r="DL59" t="e">
        <f>AND('WJP Rule of Law Index 2012-2013'!N50,"AAAAACf9vHM=")</f>
        <v>#VALUE!</v>
      </c>
      <c r="DM59" t="e">
        <f>AND('WJP Rule of Law Index 2012-2013'!O50,"AAAAACf9vHQ=")</f>
        <v>#VALUE!</v>
      </c>
      <c r="DN59" t="e">
        <f>AND('WJP Rule of Law Index 2012-2013'!AU50,"AAAAACf9vHU=")</f>
        <v>#VALUE!</v>
      </c>
      <c r="DO59" t="e">
        <f>AND('WJP Rule of Law Index 2012-2013'!AV50,"AAAAACf9vHY=")</f>
        <v>#VALUE!</v>
      </c>
      <c r="DP59" t="e">
        <f>AND('WJP Rule of Law Index 2012-2013'!AW50,"AAAAACf9vHc=")</f>
        <v>#VALUE!</v>
      </c>
      <c r="DQ59" t="e">
        <f>AND('WJP Rule of Law Index 2012-2013'!AX50,"AAAAACf9vHg=")</f>
        <v>#VALUE!</v>
      </c>
      <c r="DR59" t="e">
        <f>AND('WJP Rule of Law Index 2012-2013'!AY50,"AAAAACf9vHk=")</f>
        <v>#VALUE!</v>
      </c>
      <c r="DS59" t="e">
        <f>AND('WJP Rule of Law Index 2012-2013'!AZ50,"AAAAACf9vHo=")</f>
        <v>#VALUE!</v>
      </c>
      <c r="DT59" t="e">
        <f>AND('WJP Rule of Law Index 2012-2013'!BA50,"AAAAACf9vHs=")</f>
        <v>#VALUE!</v>
      </c>
      <c r="DU59" t="e">
        <f>AND('WJP Rule of Law Index 2012-2013'!BB50,"AAAAACf9vHw=")</f>
        <v>#VALUE!</v>
      </c>
      <c r="DV59" t="e">
        <f>AND('WJP Rule of Law Index 2012-2013'!BC50,"AAAAACf9vH0=")</f>
        <v>#VALUE!</v>
      </c>
      <c r="DW59" t="e">
        <f>AND('WJP Rule of Law Index 2012-2013'!L51,"AAAAACf9vH4=")</f>
        <v>#VALUE!</v>
      </c>
      <c r="DX59" t="e">
        <f>AND('WJP Rule of Law Index 2012-2013'!M51,"AAAAACf9vH8=")</f>
        <v>#VALUE!</v>
      </c>
      <c r="DY59" t="e">
        <f>AND('WJP Rule of Law Index 2012-2013'!N51,"AAAAACf9vIA=")</f>
        <v>#VALUE!</v>
      </c>
      <c r="DZ59" t="e">
        <f>AND('WJP Rule of Law Index 2012-2013'!O51,"AAAAACf9vIE=")</f>
        <v>#VALUE!</v>
      </c>
      <c r="EA59" t="e">
        <f>AND('WJP Rule of Law Index 2012-2013'!AU51,"AAAAACf9vII=")</f>
        <v>#VALUE!</v>
      </c>
      <c r="EB59" t="e">
        <f>AND('WJP Rule of Law Index 2012-2013'!AV51,"AAAAACf9vIM=")</f>
        <v>#VALUE!</v>
      </c>
      <c r="EC59" t="e">
        <f>AND('WJP Rule of Law Index 2012-2013'!AW51,"AAAAACf9vIQ=")</f>
        <v>#VALUE!</v>
      </c>
      <c r="ED59" t="e">
        <f>AND('WJP Rule of Law Index 2012-2013'!AX51,"AAAAACf9vIU=")</f>
        <v>#VALUE!</v>
      </c>
      <c r="EE59" t="e">
        <f>AND('WJP Rule of Law Index 2012-2013'!AY51,"AAAAACf9vIY=")</f>
        <v>#VALUE!</v>
      </c>
      <c r="EF59" t="e">
        <f>AND('WJP Rule of Law Index 2012-2013'!AZ51,"AAAAACf9vIc=")</f>
        <v>#VALUE!</v>
      </c>
      <c r="EG59" t="e">
        <f>AND('WJP Rule of Law Index 2012-2013'!BA51,"AAAAACf9vIg=")</f>
        <v>#VALUE!</v>
      </c>
      <c r="EH59" t="e">
        <f>AND('WJP Rule of Law Index 2012-2013'!BB51,"AAAAACf9vIk=")</f>
        <v>#VALUE!</v>
      </c>
      <c r="EI59" t="e">
        <f>AND('WJP Rule of Law Index 2012-2013'!BC51,"AAAAACf9vIo=")</f>
        <v>#VALUE!</v>
      </c>
      <c r="EJ59" t="e">
        <f>AND('WJP Rule of Law Index 2012-2013'!L52,"AAAAACf9vIs=")</f>
        <v>#VALUE!</v>
      </c>
      <c r="EK59" t="e">
        <f>AND('WJP Rule of Law Index 2012-2013'!M52,"AAAAACf9vIw=")</f>
        <v>#VALUE!</v>
      </c>
      <c r="EL59" t="e">
        <f>AND('WJP Rule of Law Index 2012-2013'!N52,"AAAAACf9vI0=")</f>
        <v>#VALUE!</v>
      </c>
      <c r="EM59" t="e">
        <f>AND('WJP Rule of Law Index 2012-2013'!O52,"AAAAACf9vI4=")</f>
        <v>#VALUE!</v>
      </c>
      <c r="EN59" t="e">
        <f>AND('WJP Rule of Law Index 2012-2013'!AU52,"AAAAACf9vI8=")</f>
        <v>#VALUE!</v>
      </c>
      <c r="EO59" t="e">
        <f>AND('WJP Rule of Law Index 2012-2013'!AV52,"AAAAACf9vJA=")</f>
        <v>#VALUE!</v>
      </c>
      <c r="EP59" t="e">
        <f>AND('WJP Rule of Law Index 2012-2013'!AW52,"AAAAACf9vJE=")</f>
        <v>#VALUE!</v>
      </c>
      <c r="EQ59" t="e">
        <f>AND('WJP Rule of Law Index 2012-2013'!AX52,"AAAAACf9vJI=")</f>
        <v>#VALUE!</v>
      </c>
      <c r="ER59" t="e">
        <f>AND('WJP Rule of Law Index 2012-2013'!AY52,"AAAAACf9vJM=")</f>
        <v>#VALUE!</v>
      </c>
      <c r="ES59" t="e">
        <f>AND('WJP Rule of Law Index 2012-2013'!AZ52,"AAAAACf9vJQ=")</f>
        <v>#VALUE!</v>
      </c>
      <c r="ET59" t="e">
        <f>AND('WJP Rule of Law Index 2012-2013'!BA52,"AAAAACf9vJU=")</f>
        <v>#VALUE!</v>
      </c>
      <c r="EU59" t="e">
        <f>AND('WJP Rule of Law Index 2012-2013'!BB52,"AAAAACf9vJY=")</f>
        <v>#VALUE!</v>
      </c>
      <c r="EV59" t="e">
        <f>AND('WJP Rule of Law Index 2012-2013'!BC52,"AAAAACf9vJc=")</f>
        <v>#VALUE!</v>
      </c>
      <c r="EW59" t="e">
        <f>AND('WJP Rule of Law Index 2012-2013'!L53,"AAAAACf9vJg=")</f>
        <v>#VALUE!</v>
      </c>
      <c r="EX59" t="e">
        <f>AND('WJP Rule of Law Index 2012-2013'!M53,"AAAAACf9vJk=")</f>
        <v>#VALUE!</v>
      </c>
      <c r="EY59" t="e">
        <f>AND('WJP Rule of Law Index 2012-2013'!N53,"AAAAACf9vJo=")</f>
        <v>#VALUE!</v>
      </c>
      <c r="EZ59" t="e">
        <f>AND('WJP Rule of Law Index 2012-2013'!O53,"AAAAACf9vJs=")</f>
        <v>#VALUE!</v>
      </c>
      <c r="FA59" t="e">
        <f>AND('WJP Rule of Law Index 2012-2013'!AU53,"AAAAACf9vJw=")</f>
        <v>#VALUE!</v>
      </c>
      <c r="FB59" t="e">
        <f>AND('WJP Rule of Law Index 2012-2013'!AV53,"AAAAACf9vJ0=")</f>
        <v>#VALUE!</v>
      </c>
      <c r="FC59" t="e">
        <f>AND('WJP Rule of Law Index 2012-2013'!AW53,"AAAAACf9vJ4=")</f>
        <v>#VALUE!</v>
      </c>
      <c r="FD59" t="e">
        <f>AND('WJP Rule of Law Index 2012-2013'!AX53,"AAAAACf9vJ8=")</f>
        <v>#VALUE!</v>
      </c>
      <c r="FE59" t="e">
        <f>AND('WJP Rule of Law Index 2012-2013'!AY53,"AAAAACf9vKA=")</f>
        <v>#VALUE!</v>
      </c>
      <c r="FF59" t="e">
        <f>AND('WJP Rule of Law Index 2012-2013'!AZ53,"AAAAACf9vKE=")</f>
        <v>#VALUE!</v>
      </c>
      <c r="FG59" t="e">
        <f>AND('WJP Rule of Law Index 2012-2013'!BA53,"AAAAACf9vKI=")</f>
        <v>#VALUE!</v>
      </c>
      <c r="FH59" t="e">
        <f>AND('WJP Rule of Law Index 2012-2013'!BB53,"AAAAACf9vKM=")</f>
        <v>#VALUE!</v>
      </c>
      <c r="FI59" t="e">
        <f>AND('WJP Rule of Law Index 2012-2013'!BC53,"AAAAACf9vKQ=")</f>
        <v>#VALUE!</v>
      </c>
      <c r="FJ59" t="e">
        <f>AND('WJP Rule of Law Index 2012-2013'!L54,"AAAAACf9vKU=")</f>
        <v>#VALUE!</v>
      </c>
      <c r="FK59" t="e">
        <f>AND('WJP Rule of Law Index 2012-2013'!M54,"AAAAACf9vKY=")</f>
        <v>#VALUE!</v>
      </c>
      <c r="FL59" t="e">
        <f>AND('WJP Rule of Law Index 2012-2013'!N54,"AAAAACf9vKc=")</f>
        <v>#VALUE!</v>
      </c>
      <c r="FM59" t="e">
        <f>AND('WJP Rule of Law Index 2012-2013'!O54,"AAAAACf9vKg=")</f>
        <v>#VALUE!</v>
      </c>
      <c r="FN59" t="e">
        <f>AND('WJP Rule of Law Index 2012-2013'!AU54,"AAAAACf9vKk=")</f>
        <v>#VALUE!</v>
      </c>
      <c r="FO59" t="e">
        <f>AND('WJP Rule of Law Index 2012-2013'!AV54,"AAAAACf9vKo=")</f>
        <v>#VALUE!</v>
      </c>
      <c r="FP59" t="e">
        <f>AND('WJP Rule of Law Index 2012-2013'!AW54,"AAAAACf9vKs=")</f>
        <v>#VALUE!</v>
      </c>
      <c r="FQ59" t="e">
        <f>AND('WJP Rule of Law Index 2012-2013'!AX54,"AAAAACf9vKw=")</f>
        <v>#VALUE!</v>
      </c>
      <c r="FR59" t="e">
        <f>AND('WJP Rule of Law Index 2012-2013'!AY54,"AAAAACf9vK0=")</f>
        <v>#VALUE!</v>
      </c>
      <c r="FS59" t="e">
        <f>AND('WJP Rule of Law Index 2012-2013'!AZ54,"AAAAACf9vK4=")</f>
        <v>#VALUE!</v>
      </c>
      <c r="FT59" t="e">
        <f>AND('WJP Rule of Law Index 2012-2013'!BA54,"AAAAACf9vK8=")</f>
        <v>#VALUE!</v>
      </c>
      <c r="FU59" t="e">
        <f>AND('WJP Rule of Law Index 2012-2013'!BB54,"AAAAACf9vLA=")</f>
        <v>#VALUE!</v>
      </c>
      <c r="FV59" t="e">
        <f>AND('WJP Rule of Law Index 2012-2013'!BC54,"AAAAACf9vLE=")</f>
        <v>#VALUE!</v>
      </c>
      <c r="FW59" t="e">
        <f>AND('WJP Rule of Law Index 2012-2013'!L55,"AAAAACf9vLI=")</f>
        <v>#VALUE!</v>
      </c>
      <c r="FX59" t="e">
        <f>AND('WJP Rule of Law Index 2012-2013'!M55,"AAAAACf9vLM=")</f>
        <v>#VALUE!</v>
      </c>
      <c r="FY59" t="e">
        <f>AND('WJP Rule of Law Index 2012-2013'!N55,"AAAAACf9vLQ=")</f>
        <v>#VALUE!</v>
      </c>
      <c r="FZ59" t="e">
        <f>AND('WJP Rule of Law Index 2012-2013'!O55,"AAAAACf9vLU=")</f>
        <v>#VALUE!</v>
      </c>
      <c r="GA59" t="e">
        <f>AND('WJP Rule of Law Index 2012-2013'!AU55,"AAAAACf9vLY=")</f>
        <v>#VALUE!</v>
      </c>
      <c r="GB59" t="e">
        <f>AND('WJP Rule of Law Index 2012-2013'!AV55,"AAAAACf9vLc=")</f>
        <v>#VALUE!</v>
      </c>
      <c r="GC59" t="e">
        <f>AND('WJP Rule of Law Index 2012-2013'!AW55,"AAAAACf9vLg=")</f>
        <v>#VALUE!</v>
      </c>
      <c r="GD59" t="e">
        <f>AND('WJP Rule of Law Index 2012-2013'!AX55,"AAAAACf9vLk=")</f>
        <v>#VALUE!</v>
      </c>
      <c r="GE59" t="e">
        <f>AND('WJP Rule of Law Index 2012-2013'!AY55,"AAAAACf9vLo=")</f>
        <v>#VALUE!</v>
      </c>
      <c r="GF59" t="e">
        <f>AND('WJP Rule of Law Index 2012-2013'!AZ55,"AAAAACf9vLs=")</f>
        <v>#VALUE!</v>
      </c>
      <c r="GG59" t="e">
        <f>AND('WJP Rule of Law Index 2012-2013'!BA55,"AAAAACf9vLw=")</f>
        <v>#VALUE!</v>
      </c>
      <c r="GH59" t="e">
        <f>AND('WJP Rule of Law Index 2012-2013'!BB55,"AAAAACf9vL0=")</f>
        <v>#VALUE!</v>
      </c>
      <c r="GI59" t="e">
        <f>AND('WJP Rule of Law Index 2012-2013'!BC55,"AAAAACf9vL4=")</f>
        <v>#VALUE!</v>
      </c>
      <c r="GJ59" t="e">
        <f>AND('WJP Rule of Law Index 2012-2013'!L56,"AAAAACf9vL8=")</f>
        <v>#VALUE!</v>
      </c>
      <c r="GK59" t="e">
        <f>AND('WJP Rule of Law Index 2012-2013'!M56,"AAAAACf9vMA=")</f>
        <v>#VALUE!</v>
      </c>
      <c r="GL59" t="e">
        <f>AND('WJP Rule of Law Index 2012-2013'!N56,"AAAAACf9vME=")</f>
        <v>#VALUE!</v>
      </c>
      <c r="GM59" t="e">
        <f>AND('WJP Rule of Law Index 2012-2013'!O56,"AAAAACf9vMI=")</f>
        <v>#VALUE!</v>
      </c>
      <c r="GN59" t="e">
        <f>AND('WJP Rule of Law Index 2012-2013'!AU56,"AAAAACf9vMM=")</f>
        <v>#VALUE!</v>
      </c>
      <c r="GO59" t="e">
        <f>AND('WJP Rule of Law Index 2012-2013'!AV56,"AAAAACf9vMQ=")</f>
        <v>#VALUE!</v>
      </c>
      <c r="GP59" t="e">
        <f>AND('WJP Rule of Law Index 2012-2013'!AW56,"AAAAACf9vMU=")</f>
        <v>#VALUE!</v>
      </c>
      <c r="GQ59" t="e">
        <f>AND('WJP Rule of Law Index 2012-2013'!AX56,"AAAAACf9vMY=")</f>
        <v>#VALUE!</v>
      </c>
      <c r="GR59" t="e">
        <f>AND('WJP Rule of Law Index 2012-2013'!AY56,"AAAAACf9vMc=")</f>
        <v>#VALUE!</v>
      </c>
      <c r="GS59" t="e">
        <f>AND('WJP Rule of Law Index 2012-2013'!AZ56,"AAAAACf9vMg=")</f>
        <v>#VALUE!</v>
      </c>
      <c r="GT59" t="e">
        <f>AND('WJP Rule of Law Index 2012-2013'!BA56,"AAAAACf9vMk=")</f>
        <v>#VALUE!</v>
      </c>
      <c r="GU59" t="e">
        <f>AND('WJP Rule of Law Index 2012-2013'!BB56,"AAAAACf9vMo=")</f>
        <v>#VALUE!</v>
      </c>
      <c r="GV59" t="e">
        <f>AND('WJP Rule of Law Index 2012-2013'!BC56,"AAAAACf9vMs=")</f>
        <v>#VALUE!</v>
      </c>
      <c r="GW59" t="e">
        <f>AND('WJP Rule of Law Index 2012-2013'!L57,"AAAAACf9vMw=")</f>
        <v>#VALUE!</v>
      </c>
      <c r="GX59" t="e">
        <f>AND('WJP Rule of Law Index 2012-2013'!M57,"AAAAACf9vM0=")</f>
        <v>#VALUE!</v>
      </c>
      <c r="GY59" t="e">
        <f>AND('WJP Rule of Law Index 2012-2013'!N57,"AAAAACf9vM4=")</f>
        <v>#VALUE!</v>
      </c>
      <c r="GZ59" t="e">
        <f>AND('WJP Rule of Law Index 2012-2013'!O57,"AAAAACf9vM8=")</f>
        <v>#VALUE!</v>
      </c>
      <c r="HA59" t="e">
        <f>AND('WJP Rule of Law Index 2012-2013'!AU57,"AAAAACf9vNA=")</f>
        <v>#VALUE!</v>
      </c>
      <c r="HB59" t="e">
        <f>AND('WJP Rule of Law Index 2012-2013'!AV57,"AAAAACf9vNE=")</f>
        <v>#VALUE!</v>
      </c>
      <c r="HC59" t="e">
        <f>AND('WJP Rule of Law Index 2012-2013'!AW57,"AAAAACf9vNI=")</f>
        <v>#VALUE!</v>
      </c>
      <c r="HD59" t="e">
        <f>AND('WJP Rule of Law Index 2012-2013'!AX57,"AAAAACf9vNM=")</f>
        <v>#VALUE!</v>
      </c>
      <c r="HE59" t="e">
        <f>AND('WJP Rule of Law Index 2012-2013'!AY57,"AAAAACf9vNQ=")</f>
        <v>#VALUE!</v>
      </c>
      <c r="HF59" t="e">
        <f>AND('WJP Rule of Law Index 2012-2013'!AZ57,"AAAAACf9vNU=")</f>
        <v>#VALUE!</v>
      </c>
      <c r="HG59" t="e">
        <f>AND('WJP Rule of Law Index 2012-2013'!BA57,"AAAAACf9vNY=")</f>
        <v>#VALUE!</v>
      </c>
      <c r="HH59" t="e">
        <f>AND('WJP Rule of Law Index 2012-2013'!BB57,"AAAAACf9vNc=")</f>
        <v>#VALUE!</v>
      </c>
      <c r="HI59" t="e">
        <f>AND('WJP Rule of Law Index 2012-2013'!BC57,"AAAAACf9vNg=")</f>
        <v>#VALUE!</v>
      </c>
      <c r="HJ59" t="e">
        <f>AND('WJP Rule of Law Index 2012-2013'!L58,"AAAAACf9vNk=")</f>
        <v>#VALUE!</v>
      </c>
      <c r="HK59" t="e">
        <f>AND('WJP Rule of Law Index 2012-2013'!M58,"AAAAACf9vNo=")</f>
        <v>#VALUE!</v>
      </c>
      <c r="HL59" t="e">
        <f>AND('WJP Rule of Law Index 2012-2013'!N58,"AAAAACf9vNs=")</f>
        <v>#VALUE!</v>
      </c>
      <c r="HM59" t="e">
        <f>AND('WJP Rule of Law Index 2012-2013'!O58,"AAAAACf9vNw=")</f>
        <v>#VALUE!</v>
      </c>
      <c r="HN59" t="e">
        <f>AND('WJP Rule of Law Index 2012-2013'!AU58,"AAAAACf9vN0=")</f>
        <v>#VALUE!</v>
      </c>
      <c r="HO59" t="e">
        <f>AND('WJP Rule of Law Index 2012-2013'!AV58,"AAAAACf9vN4=")</f>
        <v>#VALUE!</v>
      </c>
      <c r="HP59" t="e">
        <f>AND('WJP Rule of Law Index 2012-2013'!AW58,"AAAAACf9vN8=")</f>
        <v>#VALUE!</v>
      </c>
      <c r="HQ59" t="e">
        <f>AND('WJP Rule of Law Index 2012-2013'!AX58,"AAAAACf9vOA=")</f>
        <v>#VALUE!</v>
      </c>
      <c r="HR59" t="e">
        <f>AND('WJP Rule of Law Index 2012-2013'!AY58,"AAAAACf9vOE=")</f>
        <v>#VALUE!</v>
      </c>
      <c r="HS59" t="e">
        <f>AND('WJP Rule of Law Index 2012-2013'!AZ58,"AAAAACf9vOI=")</f>
        <v>#VALUE!</v>
      </c>
      <c r="HT59" t="e">
        <f>AND('WJP Rule of Law Index 2012-2013'!BA58,"AAAAACf9vOM=")</f>
        <v>#VALUE!</v>
      </c>
      <c r="HU59" t="e">
        <f>AND('WJP Rule of Law Index 2012-2013'!BB58,"AAAAACf9vOQ=")</f>
        <v>#VALUE!</v>
      </c>
      <c r="HV59" t="e">
        <f>AND('WJP Rule of Law Index 2012-2013'!BC58,"AAAAACf9vOU=")</f>
        <v>#VALUE!</v>
      </c>
      <c r="HW59" t="e">
        <f>AND('WJP Rule of Law Index 2012-2013'!L59,"AAAAACf9vOY=")</f>
        <v>#VALUE!</v>
      </c>
      <c r="HX59" t="e">
        <f>AND('WJP Rule of Law Index 2012-2013'!M59,"AAAAACf9vOc=")</f>
        <v>#VALUE!</v>
      </c>
      <c r="HY59" t="e">
        <f>AND('WJP Rule of Law Index 2012-2013'!N59,"AAAAACf9vOg=")</f>
        <v>#VALUE!</v>
      </c>
      <c r="HZ59" t="e">
        <f>AND('WJP Rule of Law Index 2012-2013'!O59,"AAAAACf9vOk=")</f>
        <v>#VALUE!</v>
      </c>
      <c r="IA59" t="e">
        <f>AND('WJP Rule of Law Index 2012-2013'!AU59,"AAAAACf9vOo=")</f>
        <v>#VALUE!</v>
      </c>
      <c r="IB59" t="e">
        <f>AND('WJP Rule of Law Index 2012-2013'!AV59,"AAAAACf9vOs=")</f>
        <v>#VALUE!</v>
      </c>
      <c r="IC59" t="e">
        <f>AND('WJP Rule of Law Index 2012-2013'!AW59,"AAAAACf9vOw=")</f>
        <v>#VALUE!</v>
      </c>
      <c r="ID59" t="e">
        <f>AND('WJP Rule of Law Index 2012-2013'!AX59,"AAAAACf9vO0=")</f>
        <v>#VALUE!</v>
      </c>
      <c r="IE59" t="e">
        <f>AND('WJP Rule of Law Index 2012-2013'!AY59,"AAAAACf9vO4=")</f>
        <v>#VALUE!</v>
      </c>
      <c r="IF59" t="e">
        <f>AND('WJP Rule of Law Index 2012-2013'!AZ59,"AAAAACf9vO8=")</f>
        <v>#VALUE!</v>
      </c>
      <c r="IG59" t="e">
        <f>AND('WJP Rule of Law Index 2012-2013'!BA59,"AAAAACf9vPA=")</f>
        <v>#VALUE!</v>
      </c>
      <c r="IH59" t="e">
        <f>AND('WJP Rule of Law Index 2012-2013'!BB59,"AAAAACf9vPE=")</f>
        <v>#VALUE!</v>
      </c>
      <c r="II59" t="e">
        <f>AND('WJP Rule of Law Index 2012-2013'!BC59,"AAAAACf9vPI=")</f>
        <v>#VALUE!</v>
      </c>
      <c r="IJ59" t="e">
        <f>AND('WJP Rule of Law Index 2012-2013'!L60,"AAAAACf9vPM=")</f>
        <v>#VALUE!</v>
      </c>
      <c r="IK59" t="e">
        <f>AND('WJP Rule of Law Index 2012-2013'!M60,"AAAAACf9vPQ=")</f>
        <v>#VALUE!</v>
      </c>
      <c r="IL59" t="e">
        <f>AND('WJP Rule of Law Index 2012-2013'!N60,"AAAAACf9vPU=")</f>
        <v>#VALUE!</v>
      </c>
      <c r="IM59" t="e">
        <f>AND('WJP Rule of Law Index 2012-2013'!O60,"AAAAACf9vPY=")</f>
        <v>#VALUE!</v>
      </c>
      <c r="IN59" t="e">
        <f>AND('WJP Rule of Law Index 2012-2013'!AU60,"AAAAACf9vPc=")</f>
        <v>#VALUE!</v>
      </c>
      <c r="IO59" t="e">
        <f>AND('WJP Rule of Law Index 2012-2013'!AV60,"AAAAACf9vPg=")</f>
        <v>#VALUE!</v>
      </c>
      <c r="IP59" t="e">
        <f>AND('WJP Rule of Law Index 2012-2013'!AW60,"AAAAACf9vPk=")</f>
        <v>#VALUE!</v>
      </c>
      <c r="IQ59" t="e">
        <f>AND('WJP Rule of Law Index 2012-2013'!AX60,"AAAAACf9vPo=")</f>
        <v>#VALUE!</v>
      </c>
      <c r="IR59" t="e">
        <f>AND('WJP Rule of Law Index 2012-2013'!AY60,"AAAAACf9vPs=")</f>
        <v>#VALUE!</v>
      </c>
      <c r="IS59" t="e">
        <f>AND('WJP Rule of Law Index 2012-2013'!AZ60,"AAAAACf9vPw=")</f>
        <v>#VALUE!</v>
      </c>
      <c r="IT59" t="e">
        <f>AND('WJP Rule of Law Index 2012-2013'!BA60,"AAAAACf9vP0=")</f>
        <v>#VALUE!</v>
      </c>
      <c r="IU59" t="e">
        <f>AND('WJP Rule of Law Index 2012-2013'!BB60,"AAAAACf9vP4=")</f>
        <v>#VALUE!</v>
      </c>
      <c r="IV59" t="e">
        <f>AND('WJP Rule of Law Index 2012-2013'!BC60,"AAAAACf9vP8=")</f>
        <v>#VALUE!</v>
      </c>
    </row>
    <row r="60" spans="1:256" ht="15">
      <c r="A60" t="e">
        <f>AND('WJP Rule of Law Index 2012-2013'!L61,"AAAAAB+f6wA=")</f>
        <v>#VALUE!</v>
      </c>
      <c r="B60" t="e">
        <f>AND('WJP Rule of Law Index 2012-2013'!M61,"AAAAAB+f6wE=")</f>
        <v>#VALUE!</v>
      </c>
      <c r="C60" t="e">
        <f>AND('WJP Rule of Law Index 2012-2013'!N61,"AAAAAB+f6wI=")</f>
        <v>#VALUE!</v>
      </c>
      <c r="D60" t="e">
        <f>AND('WJP Rule of Law Index 2012-2013'!O61,"AAAAAB+f6wM=")</f>
        <v>#VALUE!</v>
      </c>
      <c r="E60" t="e">
        <f>AND('WJP Rule of Law Index 2012-2013'!AU61,"AAAAAB+f6wQ=")</f>
        <v>#VALUE!</v>
      </c>
      <c r="F60" t="e">
        <f>AND('WJP Rule of Law Index 2012-2013'!AV61,"AAAAAB+f6wU=")</f>
        <v>#VALUE!</v>
      </c>
      <c r="G60" t="e">
        <f>AND('WJP Rule of Law Index 2012-2013'!AW61,"AAAAAB+f6wY=")</f>
        <v>#VALUE!</v>
      </c>
      <c r="H60" t="e">
        <f>AND('WJP Rule of Law Index 2012-2013'!AX61,"AAAAAB+f6wc=")</f>
        <v>#VALUE!</v>
      </c>
      <c r="I60" t="e">
        <f>AND('WJP Rule of Law Index 2012-2013'!AY61,"AAAAAB+f6wg=")</f>
        <v>#VALUE!</v>
      </c>
      <c r="J60" t="e">
        <f>AND('WJP Rule of Law Index 2012-2013'!AZ61,"AAAAAB+f6wk=")</f>
        <v>#VALUE!</v>
      </c>
      <c r="K60" t="e">
        <f>AND('WJP Rule of Law Index 2012-2013'!BA61,"AAAAAB+f6wo=")</f>
        <v>#VALUE!</v>
      </c>
      <c r="L60" t="e">
        <f>AND('WJP Rule of Law Index 2012-2013'!BB61,"AAAAAB+f6ws=")</f>
        <v>#VALUE!</v>
      </c>
      <c r="M60" t="e">
        <f>AND('WJP Rule of Law Index 2012-2013'!BC61,"AAAAAB+f6ww=")</f>
        <v>#VALUE!</v>
      </c>
      <c r="N60" t="e">
        <f>AND('WJP Rule of Law Index 2012-2013'!L62,"AAAAAB+f6w0=")</f>
        <v>#VALUE!</v>
      </c>
      <c r="O60" t="e">
        <f>AND('WJP Rule of Law Index 2012-2013'!M62,"AAAAAB+f6w4=")</f>
        <v>#VALUE!</v>
      </c>
      <c r="P60" t="e">
        <f>AND('WJP Rule of Law Index 2012-2013'!N62,"AAAAAB+f6w8=")</f>
        <v>#VALUE!</v>
      </c>
      <c r="Q60" t="e">
        <f>AND('WJP Rule of Law Index 2012-2013'!O62,"AAAAAB+f6xA=")</f>
        <v>#VALUE!</v>
      </c>
      <c r="R60" t="e">
        <f>AND('WJP Rule of Law Index 2012-2013'!AU62,"AAAAAB+f6xE=")</f>
        <v>#VALUE!</v>
      </c>
      <c r="S60" t="e">
        <f>AND('WJP Rule of Law Index 2012-2013'!AV62,"AAAAAB+f6xI=")</f>
        <v>#VALUE!</v>
      </c>
      <c r="T60" t="e">
        <f>AND('WJP Rule of Law Index 2012-2013'!AW62,"AAAAAB+f6xM=")</f>
        <v>#VALUE!</v>
      </c>
      <c r="U60" t="e">
        <f>AND('WJP Rule of Law Index 2012-2013'!AX62,"AAAAAB+f6xQ=")</f>
        <v>#VALUE!</v>
      </c>
      <c r="V60" t="e">
        <f>AND('WJP Rule of Law Index 2012-2013'!AY62,"AAAAAB+f6xU=")</f>
        <v>#VALUE!</v>
      </c>
      <c r="W60" t="e">
        <f>AND('WJP Rule of Law Index 2012-2013'!AZ62,"AAAAAB+f6xY=")</f>
        <v>#VALUE!</v>
      </c>
      <c r="X60" t="e">
        <f>AND('WJP Rule of Law Index 2012-2013'!BA62,"AAAAAB+f6xc=")</f>
        <v>#VALUE!</v>
      </c>
      <c r="Y60" t="e">
        <f>AND('WJP Rule of Law Index 2012-2013'!BB62,"AAAAAB+f6xg=")</f>
        <v>#VALUE!</v>
      </c>
      <c r="Z60" t="e">
        <f>AND('WJP Rule of Law Index 2012-2013'!BC62,"AAAAAB+f6xk=")</f>
        <v>#VALUE!</v>
      </c>
      <c r="AA60" t="e">
        <f>AND('WJP Rule of Law Index 2012-2013'!L63,"AAAAAB+f6xo=")</f>
        <v>#VALUE!</v>
      </c>
      <c r="AB60" t="e">
        <f>AND('WJP Rule of Law Index 2012-2013'!M63,"AAAAAB+f6xs=")</f>
        <v>#VALUE!</v>
      </c>
      <c r="AC60" t="e">
        <f>AND('WJP Rule of Law Index 2012-2013'!N63,"AAAAAB+f6xw=")</f>
        <v>#VALUE!</v>
      </c>
      <c r="AD60" t="e">
        <f>AND('WJP Rule of Law Index 2012-2013'!O63,"AAAAAB+f6x0=")</f>
        <v>#VALUE!</v>
      </c>
      <c r="AE60" t="e">
        <f>AND('WJP Rule of Law Index 2012-2013'!AU63,"AAAAAB+f6x4=")</f>
        <v>#VALUE!</v>
      </c>
      <c r="AF60" t="e">
        <f>AND('WJP Rule of Law Index 2012-2013'!AV63,"AAAAAB+f6x8=")</f>
        <v>#VALUE!</v>
      </c>
      <c r="AG60" t="e">
        <f>AND('WJP Rule of Law Index 2012-2013'!AW63,"AAAAAB+f6yA=")</f>
        <v>#VALUE!</v>
      </c>
      <c r="AH60" t="e">
        <f>AND('WJP Rule of Law Index 2012-2013'!AX63,"AAAAAB+f6yE=")</f>
        <v>#VALUE!</v>
      </c>
      <c r="AI60" t="e">
        <f>AND('WJP Rule of Law Index 2012-2013'!AY63,"AAAAAB+f6yI=")</f>
        <v>#VALUE!</v>
      </c>
      <c r="AJ60" t="e">
        <f>AND('WJP Rule of Law Index 2012-2013'!AZ63,"AAAAAB+f6yM=")</f>
        <v>#VALUE!</v>
      </c>
      <c r="AK60" t="e">
        <f>AND('WJP Rule of Law Index 2012-2013'!BA63,"AAAAAB+f6yQ=")</f>
        <v>#VALUE!</v>
      </c>
      <c r="AL60" t="e">
        <f>AND('WJP Rule of Law Index 2012-2013'!BB63,"AAAAAB+f6yU=")</f>
        <v>#VALUE!</v>
      </c>
      <c r="AM60" t="e">
        <f>AND('WJP Rule of Law Index 2012-2013'!BC63,"AAAAAB+f6yY=")</f>
        <v>#VALUE!</v>
      </c>
      <c r="AN60" t="e">
        <f>AND('WJP Rule of Law Index 2012-2013'!L64,"AAAAAB+f6yc=")</f>
        <v>#VALUE!</v>
      </c>
      <c r="AO60" t="e">
        <f>AND('WJP Rule of Law Index 2012-2013'!M64,"AAAAAB+f6yg=")</f>
        <v>#VALUE!</v>
      </c>
      <c r="AP60" t="e">
        <f>AND('WJP Rule of Law Index 2012-2013'!N64,"AAAAAB+f6yk=")</f>
        <v>#VALUE!</v>
      </c>
      <c r="AQ60" t="e">
        <f>AND('WJP Rule of Law Index 2012-2013'!O64,"AAAAAB+f6yo=")</f>
        <v>#VALUE!</v>
      </c>
      <c r="AR60" t="e">
        <f>AND('WJP Rule of Law Index 2012-2013'!AU64,"AAAAAB+f6ys=")</f>
        <v>#VALUE!</v>
      </c>
      <c r="AS60" t="e">
        <f>AND('WJP Rule of Law Index 2012-2013'!AV64,"AAAAAB+f6yw=")</f>
        <v>#VALUE!</v>
      </c>
      <c r="AT60" t="e">
        <f>AND('WJP Rule of Law Index 2012-2013'!AW64,"AAAAAB+f6y0=")</f>
        <v>#VALUE!</v>
      </c>
      <c r="AU60" t="e">
        <f>AND('WJP Rule of Law Index 2012-2013'!AX64,"AAAAAB+f6y4=")</f>
        <v>#VALUE!</v>
      </c>
      <c r="AV60" t="e">
        <f>AND('WJP Rule of Law Index 2012-2013'!AY64,"AAAAAB+f6y8=")</f>
        <v>#VALUE!</v>
      </c>
      <c r="AW60" t="e">
        <f>AND('WJP Rule of Law Index 2012-2013'!AZ64,"AAAAAB+f6zA=")</f>
        <v>#VALUE!</v>
      </c>
      <c r="AX60" t="e">
        <f>AND('WJP Rule of Law Index 2012-2013'!BA64,"AAAAAB+f6zE=")</f>
        <v>#VALUE!</v>
      </c>
      <c r="AY60" t="e">
        <f>AND('WJP Rule of Law Index 2012-2013'!BB64,"AAAAAB+f6zI=")</f>
        <v>#VALUE!</v>
      </c>
      <c r="AZ60" t="e">
        <f>AND('WJP Rule of Law Index 2012-2013'!BC64,"AAAAAB+f6zM=")</f>
        <v>#VALUE!</v>
      </c>
      <c r="BA60" t="e">
        <f>AND('WJP Rule of Law Index 2012-2013'!L65,"AAAAAB+f6zQ=")</f>
        <v>#VALUE!</v>
      </c>
      <c r="BB60" t="e">
        <f>AND('WJP Rule of Law Index 2012-2013'!M65,"AAAAAB+f6zU=")</f>
        <v>#VALUE!</v>
      </c>
      <c r="BC60" t="e">
        <f>AND('WJP Rule of Law Index 2012-2013'!N65,"AAAAAB+f6zY=")</f>
        <v>#VALUE!</v>
      </c>
      <c r="BD60" t="e">
        <f>AND('WJP Rule of Law Index 2012-2013'!O65,"AAAAAB+f6zc=")</f>
        <v>#VALUE!</v>
      </c>
      <c r="BE60" t="e">
        <f>AND('WJP Rule of Law Index 2012-2013'!AU65,"AAAAAB+f6zg=")</f>
        <v>#VALUE!</v>
      </c>
      <c r="BF60" t="e">
        <f>AND('WJP Rule of Law Index 2012-2013'!AV65,"AAAAAB+f6zk=")</f>
        <v>#VALUE!</v>
      </c>
      <c r="BG60" t="e">
        <f>AND('WJP Rule of Law Index 2012-2013'!AW65,"AAAAAB+f6zo=")</f>
        <v>#VALUE!</v>
      </c>
      <c r="BH60" t="e">
        <f>AND('WJP Rule of Law Index 2012-2013'!AX65,"AAAAAB+f6zs=")</f>
        <v>#VALUE!</v>
      </c>
      <c r="BI60" t="e">
        <f>AND('WJP Rule of Law Index 2012-2013'!AY65,"AAAAAB+f6zw=")</f>
        <v>#VALUE!</v>
      </c>
      <c r="BJ60" t="e">
        <f>AND('WJP Rule of Law Index 2012-2013'!AZ65,"AAAAAB+f6z0=")</f>
        <v>#VALUE!</v>
      </c>
      <c r="BK60" t="e">
        <f>AND('WJP Rule of Law Index 2012-2013'!BA65,"AAAAAB+f6z4=")</f>
        <v>#VALUE!</v>
      </c>
      <c r="BL60" t="e">
        <f>AND('WJP Rule of Law Index 2012-2013'!BB65,"AAAAAB+f6z8=")</f>
        <v>#VALUE!</v>
      </c>
      <c r="BM60" t="e">
        <f>AND('WJP Rule of Law Index 2012-2013'!BC65,"AAAAAB+f60A=")</f>
        <v>#VALUE!</v>
      </c>
      <c r="BN60" t="e">
        <f>AND('WJP Rule of Law Index 2012-2013'!L66,"AAAAAB+f60E=")</f>
        <v>#VALUE!</v>
      </c>
      <c r="BO60" t="e">
        <f>AND('WJP Rule of Law Index 2012-2013'!M66,"AAAAAB+f60I=")</f>
        <v>#VALUE!</v>
      </c>
      <c r="BP60" t="e">
        <f>AND('WJP Rule of Law Index 2012-2013'!N66,"AAAAAB+f60M=")</f>
        <v>#VALUE!</v>
      </c>
      <c r="BQ60" t="e">
        <f>AND('WJP Rule of Law Index 2012-2013'!O66,"AAAAAB+f60Q=")</f>
        <v>#VALUE!</v>
      </c>
      <c r="BR60" t="e">
        <f>AND('WJP Rule of Law Index 2012-2013'!AU66,"AAAAAB+f60U=")</f>
        <v>#VALUE!</v>
      </c>
      <c r="BS60" t="e">
        <f>AND('WJP Rule of Law Index 2012-2013'!AV66,"AAAAAB+f60Y=")</f>
        <v>#VALUE!</v>
      </c>
      <c r="BT60" t="e">
        <f>AND('WJP Rule of Law Index 2012-2013'!AW66,"AAAAAB+f60c=")</f>
        <v>#VALUE!</v>
      </c>
      <c r="BU60" t="e">
        <f>AND('WJP Rule of Law Index 2012-2013'!AX66,"AAAAAB+f60g=")</f>
        <v>#VALUE!</v>
      </c>
      <c r="BV60" t="e">
        <f>AND('WJP Rule of Law Index 2012-2013'!AY66,"AAAAAB+f60k=")</f>
        <v>#VALUE!</v>
      </c>
      <c r="BW60" t="e">
        <f>AND('WJP Rule of Law Index 2012-2013'!AZ66,"AAAAAB+f60o=")</f>
        <v>#VALUE!</v>
      </c>
      <c r="BX60" t="e">
        <f>AND('WJP Rule of Law Index 2012-2013'!BA66,"AAAAAB+f60s=")</f>
        <v>#VALUE!</v>
      </c>
      <c r="BY60" t="e">
        <f>AND('WJP Rule of Law Index 2012-2013'!BB66,"AAAAAB+f60w=")</f>
        <v>#VALUE!</v>
      </c>
      <c r="BZ60" t="e">
        <f>AND('WJP Rule of Law Index 2012-2013'!BC66,"AAAAAB+f600=")</f>
        <v>#VALUE!</v>
      </c>
      <c r="CA60" t="e">
        <f>AND('WJP Rule of Law Index 2012-2013'!L67,"AAAAAB+f604=")</f>
        <v>#VALUE!</v>
      </c>
      <c r="CB60" t="e">
        <f>AND('WJP Rule of Law Index 2012-2013'!M67,"AAAAAB+f608=")</f>
        <v>#VALUE!</v>
      </c>
      <c r="CC60" t="e">
        <f>AND('WJP Rule of Law Index 2012-2013'!N67,"AAAAAB+f61A=")</f>
        <v>#VALUE!</v>
      </c>
      <c r="CD60" t="e">
        <f>AND('WJP Rule of Law Index 2012-2013'!O67,"AAAAAB+f61E=")</f>
        <v>#VALUE!</v>
      </c>
      <c r="CE60" t="e">
        <f>AND('WJP Rule of Law Index 2012-2013'!AU67,"AAAAAB+f61I=")</f>
        <v>#VALUE!</v>
      </c>
      <c r="CF60" t="e">
        <f>AND('WJP Rule of Law Index 2012-2013'!AV67,"AAAAAB+f61M=")</f>
        <v>#VALUE!</v>
      </c>
      <c r="CG60" t="e">
        <f>AND('WJP Rule of Law Index 2012-2013'!AW67,"AAAAAB+f61Q=")</f>
        <v>#VALUE!</v>
      </c>
      <c r="CH60" t="e">
        <f>AND('WJP Rule of Law Index 2012-2013'!AX67,"AAAAAB+f61U=")</f>
        <v>#VALUE!</v>
      </c>
      <c r="CI60" t="e">
        <f>AND('WJP Rule of Law Index 2012-2013'!AY67,"AAAAAB+f61Y=")</f>
        <v>#VALUE!</v>
      </c>
      <c r="CJ60" t="e">
        <f>AND('WJP Rule of Law Index 2012-2013'!AZ67,"AAAAAB+f61c=")</f>
        <v>#VALUE!</v>
      </c>
      <c r="CK60" t="e">
        <f>AND('WJP Rule of Law Index 2012-2013'!BA67,"AAAAAB+f61g=")</f>
        <v>#VALUE!</v>
      </c>
      <c r="CL60" t="e">
        <f>AND('WJP Rule of Law Index 2012-2013'!BB67,"AAAAAB+f61k=")</f>
        <v>#VALUE!</v>
      </c>
      <c r="CM60" t="e">
        <f>AND('WJP Rule of Law Index 2012-2013'!BC67,"AAAAAB+f61o=")</f>
        <v>#VALUE!</v>
      </c>
      <c r="CN60" t="e">
        <f>AND('WJP Rule of Law Index 2012-2013'!L68,"AAAAAB+f61s=")</f>
        <v>#VALUE!</v>
      </c>
      <c r="CO60" t="e">
        <f>AND('WJP Rule of Law Index 2012-2013'!M68,"AAAAAB+f61w=")</f>
        <v>#VALUE!</v>
      </c>
      <c r="CP60" t="e">
        <f>AND('WJP Rule of Law Index 2012-2013'!N68,"AAAAAB+f610=")</f>
        <v>#VALUE!</v>
      </c>
      <c r="CQ60" t="e">
        <f>AND('WJP Rule of Law Index 2012-2013'!O68,"AAAAAB+f614=")</f>
        <v>#VALUE!</v>
      </c>
      <c r="CR60" t="e">
        <f>AND('WJP Rule of Law Index 2012-2013'!AU68,"AAAAAB+f618=")</f>
        <v>#VALUE!</v>
      </c>
      <c r="CS60" t="e">
        <f>AND('WJP Rule of Law Index 2012-2013'!AV68,"AAAAAB+f62A=")</f>
        <v>#VALUE!</v>
      </c>
      <c r="CT60" t="e">
        <f>AND('WJP Rule of Law Index 2012-2013'!AW68,"AAAAAB+f62E=")</f>
        <v>#VALUE!</v>
      </c>
      <c r="CU60" t="e">
        <f>AND('WJP Rule of Law Index 2012-2013'!AX68,"AAAAAB+f62I=")</f>
        <v>#VALUE!</v>
      </c>
      <c r="CV60" t="e">
        <f>AND('WJP Rule of Law Index 2012-2013'!AY68,"AAAAAB+f62M=")</f>
        <v>#VALUE!</v>
      </c>
      <c r="CW60" t="e">
        <f>AND('WJP Rule of Law Index 2012-2013'!AZ68,"AAAAAB+f62Q=")</f>
        <v>#VALUE!</v>
      </c>
      <c r="CX60" t="e">
        <f>AND('WJP Rule of Law Index 2012-2013'!BA68,"AAAAAB+f62U=")</f>
        <v>#VALUE!</v>
      </c>
      <c r="CY60" t="e">
        <f>AND('WJP Rule of Law Index 2012-2013'!BB68,"AAAAAB+f62Y=")</f>
        <v>#VALUE!</v>
      </c>
      <c r="CZ60" t="e">
        <f>AND('WJP Rule of Law Index 2012-2013'!BC68,"AAAAAB+f62c=")</f>
        <v>#VALUE!</v>
      </c>
      <c r="DA60" t="e">
        <f>AND('WJP Rule of Law Index 2012-2013'!L69,"AAAAAB+f62g=")</f>
        <v>#VALUE!</v>
      </c>
      <c r="DB60" t="e">
        <f>AND('WJP Rule of Law Index 2012-2013'!M69,"AAAAAB+f62k=")</f>
        <v>#VALUE!</v>
      </c>
      <c r="DC60" t="e">
        <f>AND('WJP Rule of Law Index 2012-2013'!N69,"AAAAAB+f62o=")</f>
        <v>#VALUE!</v>
      </c>
      <c r="DD60" t="e">
        <f>AND('WJP Rule of Law Index 2012-2013'!O69,"AAAAAB+f62s=")</f>
        <v>#VALUE!</v>
      </c>
      <c r="DE60" t="e">
        <f>AND('WJP Rule of Law Index 2012-2013'!AU69,"AAAAAB+f62w=")</f>
        <v>#VALUE!</v>
      </c>
      <c r="DF60" t="e">
        <f>AND('WJP Rule of Law Index 2012-2013'!AV69,"AAAAAB+f620=")</f>
        <v>#VALUE!</v>
      </c>
      <c r="DG60" t="e">
        <f>AND('WJP Rule of Law Index 2012-2013'!AW69,"AAAAAB+f624=")</f>
        <v>#VALUE!</v>
      </c>
      <c r="DH60" t="e">
        <f>AND('WJP Rule of Law Index 2012-2013'!AX69,"AAAAAB+f628=")</f>
        <v>#VALUE!</v>
      </c>
      <c r="DI60" t="e">
        <f>AND('WJP Rule of Law Index 2012-2013'!AY69,"AAAAAB+f63A=")</f>
        <v>#VALUE!</v>
      </c>
      <c r="DJ60" t="e">
        <f>AND('WJP Rule of Law Index 2012-2013'!AZ69,"AAAAAB+f63E=")</f>
        <v>#VALUE!</v>
      </c>
      <c r="DK60" t="e">
        <f>AND('WJP Rule of Law Index 2012-2013'!BA69,"AAAAAB+f63I=")</f>
        <v>#VALUE!</v>
      </c>
      <c r="DL60" t="e">
        <f>AND('WJP Rule of Law Index 2012-2013'!BB69,"AAAAAB+f63M=")</f>
        <v>#VALUE!</v>
      </c>
      <c r="DM60" t="e">
        <f>AND('WJP Rule of Law Index 2012-2013'!BC69,"AAAAAB+f63Q=")</f>
        <v>#VALUE!</v>
      </c>
      <c r="DN60" t="e">
        <f>AND('WJP Rule of Law Index 2012-2013'!L70,"AAAAAB+f63U=")</f>
        <v>#VALUE!</v>
      </c>
      <c r="DO60" t="e">
        <f>AND('WJP Rule of Law Index 2012-2013'!M70,"AAAAAB+f63Y=")</f>
        <v>#VALUE!</v>
      </c>
      <c r="DP60" t="e">
        <f>AND('WJP Rule of Law Index 2012-2013'!N70,"AAAAAB+f63c=")</f>
        <v>#VALUE!</v>
      </c>
      <c r="DQ60" t="e">
        <f>AND('WJP Rule of Law Index 2012-2013'!O70,"AAAAAB+f63g=")</f>
        <v>#VALUE!</v>
      </c>
      <c r="DR60" t="e">
        <f>AND('WJP Rule of Law Index 2012-2013'!AU70,"AAAAAB+f63k=")</f>
        <v>#VALUE!</v>
      </c>
      <c r="DS60" t="e">
        <f>AND('WJP Rule of Law Index 2012-2013'!AV70,"AAAAAB+f63o=")</f>
        <v>#VALUE!</v>
      </c>
      <c r="DT60" t="e">
        <f>AND('WJP Rule of Law Index 2012-2013'!AW70,"AAAAAB+f63s=")</f>
        <v>#VALUE!</v>
      </c>
      <c r="DU60" t="e">
        <f>AND('WJP Rule of Law Index 2012-2013'!AX70,"AAAAAB+f63w=")</f>
        <v>#VALUE!</v>
      </c>
      <c r="DV60" t="e">
        <f>AND('WJP Rule of Law Index 2012-2013'!AY70,"AAAAAB+f630=")</f>
        <v>#VALUE!</v>
      </c>
      <c r="DW60" t="e">
        <f>AND('WJP Rule of Law Index 2012-2013'!AZ70,"AAAAAB+f634=")</f>
        <v>#VALUE!</v>
      </c>
      <c r="DX60" t="e">
        <f>AND('WJP Rule of Law Index 2012-2013'!BA70,"AAAAAB+f638=")</f>
        <v>#VALUE!</v>
      </c>
      <c r="DY60" t="e">
        <f>AND('WJP Rule of Law Index 2012-2013'!BB70,"AAAAAB+f64A=")</f>
        <v>#VALUE!</v>
      </c>
      <c r="DZ60" t="e">
        <f>AND('WJP Rule of Law Index 2012-2013'!BC70,"AAAAAB+f64E=")</f>
        <v>#VALUE!</v>
      </c>
      <c r="EA60" t="e">
        <f>AND('WJP Rule of Law Index 2012-2013'!L71,"AAAAAB+f64I=")</f>
        <v>#VALUE!</v>
      </c>
      <c r="EB60" t="e">
        <f>AND('WJP Rule of Law Index 2012-2013'!M71,"AAAAAB+f64M=")</f>
        <v>#VALUE!</v>
      </c>
      <c r="EC60" t="e">
        <f>AND('WJP Rule of Law Index 2012-2013'!N71,"AAAAAB+f64Q=")</f>
        <v>#VALUE!</v>
      </c>
      <c r="ED60" t="e">
        <f>AND('WJP Rule of Law Index 2012-2013'!O71,"AAAAAB+f64U=")</f>
        <v>#VALUE!</v>
      </c>
      <c r="EE60" t="e">
        <f>AND('WJP Rule of Law Index 2012-2013'!AU71,"AAAAAB+f64Y=")</f>
        <v>#VALUE!</v>
      </c>
      <c r="EF60" t="e">
        <f>AND('WJP Rule of Law Index 2012-2013'!AV71,"AAAAAB+f64c=")</f>
        <v>#VALUE!</v>
      </c>
      <c r="EG60" t="e">
        <f>AND('WJP Rule of Law Index 2012-2013'!AW71,"AAAAAB+f64g=")</f>
        <v>#VALUE!</v>
      </c>
      <c r="EH60" t="e">
        <f>AND('WJP Rule of Law Index 2012-2013'!AX71,"AAAAAB+f64k=")</f>
        <v>#VALUE!</v>
      </c>
      <c r="EI60" t="e">
        <f>AND('WJP Rule of Law Index 2012-2013'!AY71,"AAAAAB+f64o=")</f>
        <v>#VALUE!</v>
      </c>
      <c r="EJ60" t="e">
        <f>AND('WJP Rule of Law Index 2012-2013'!AZ71,"AAAAAB+f64s=")</f>
        <v>#VALUE!</v>
      </c>
      <c r="EK60" t="e">
        <f>AND('WJP Rule of Law Index 2012-2013'!BA71,"AAAAAB+f64w=")</f>
        <v>#VALUE!</v>
      </c>
      <c r="EL60" t="e">
        <f>AND('WJP Rule of Law Index 2012-2013'!BB71,"AAAAAB+f640=")</f>
        <v>#VALUE!</v>
      </c>
      <c r="EM60" t="e">
        <f>AND('WJP Rule of Law Index 2012-2013'!BC71,"AAAAAB+f644=")</f>
        <v>#VALUE!</v>
      </c>
      <c r="EN60" t="e">
        <f>AND('WJP Rule of Law Index 2012-2013'!L72,"AAAAAB+f648=")</f>
        <v>#VALUE!</v>
      </c>
      <c r="EO60" t="e">
        <f>AND('WJP Rule of Law Index 2012-2013'!M72,"AAAAAB+f65A=")</f>
        <v>#VALUE!</v>
      </c>
      <c r="EP60" t="e">
        <f>AND('WJP Rule of Law Index 2012-2013'!N72,"AAAAAB+f65E=")</f>
        <v>#VALUE!</v>
      </c>
      <c r="EQ60" t="e">
        <f>AND('WJP Rule of Law Index 2012-2013'!O72,"AAAAAB+f65I=")</f>
        <v>#VALUE!</v>
      </c>
      <c r="ER60" t="e">
        <f>AND('WJP Rule of Law Index 2012-2013'!AU72,"AAAAAB+f65M=")</f>
        <v>#VALUE!</v>
      </c>
      <c r="ES60" t="e">
        <f>AND('WJP Rule of Law Index 2012-2013'!AV72,"AAAAAB+f65Q=")</f>
        <v>#VALUE!</v>
      </c>
      <c r="ET60" t="e">
        <f>AND('WJP Rule of Law Index 2012-2013'!AW72,"AAAAAB+f65U=")</f>
        <v>#VALUE!</v>
      </c>
      <c r="EU60" t="e">
        <f>AND('WJP Rule of Law Index 2012-2013'!AX72,"AAAAAB+f65Y=")</f>
        <v>#VALUE!</v>
      </c>
      <c r="EV60" t="e">
        <f>AND('WJP Rule of Law Index 2012-2013'!AY72,"AAAAAB+f65c=")</f>
        <v>#VALUE!</v>
      </c>
      <c r="EW60" t="e">
        <f>AND('WJP Rule of Law Index 2012-2013'!AZ72,"AAAAAB+f65g=")</f>
        <v>#VALUE!</v>
      </c>
      <c r="EX60" t="e">
        <f>AND('WJP Rule of Law Index 2012-2013'!BA72,"AAAAAB+f65k=")</f>
        <v>#VALUE!</v>
      </c>
      <c r="EY60" t="e">
        <f>AND('WJP Rule of Law Index 2012-2013'!BB72,"AAAAAB+f65o=")</f>
        <v>#VALUE!</v>
      </c>
      <c r="EZ60" t="e">
        <f>AND('WJP Rule of Law Index 2012-2013'!BC72,"AAAAAB+f65s=")</f>
        <v>#VALUE!</v>
      </c>
      <c r="FA60" t="e">
        <f>AND('WJP Rule of Law Index 2012-2013'!L73,"AAAAAB+f65w=")</f>
        <v>#VALUE!</v>
      </c>
      <c r="FB60" t="e">
        <f>AND('WJP Rule of Law Index 2012-2013'!M73,"AAAAAB+f650=")</f>
        <v>#VALUE!</v>
      </c>
      <c r="FC60" t="e">
        <f>AND('WJP Rule of Law Index 2012-2013'!N73,"AAAAAB+f654=")</f>
        <v>#VALUE!</v>
      </c>
      <c r="FD60" t="e">
        <f>AND('WJP Rule of Law Index 2012-2013'!O73,"AAAAAB+f658=")</f>
        <v>#VALUE!</v>
      </c>
      <c r="FE60" t="e">
        <f>AND('WJP Rule of Law Index 2012-2013'!AU73,"AAAAAB+f66A=")</f>
        <v>#VALUE!</v>
      </c>
      <c r="FF60" t="e">
        <f>AND('WJP Rule of Law Index 2012-2013'!AV73,"AAAAAB+f66E=")</f>
        <v>#VALUE!</v>
      </c>
      <c r="FG60" t="e">
        <f>AND('WJP Rule of Law Index 2012-2013'!AW73,"AAAAAB+f66I=")</f>
        <v>#VALUE!</v>
      </c>
      <c r="FH60" t="e">
        <f>AND('WJP Rule of Law Index 2012-2013'!AX73,"AAAAAB+f66M=")</f>
        <v>#VALUE!</v>
      </c>
      <c r="FI60" t="e">
        <f>AND('WJP Rule of Law Index 2012-2013'!AY73,"AAAAAB+f66Q=")</f>
        <v>#VALUE!</v>
      </c>
      <c r="FJ60" t="e">
        <f>AND('WJP Rule of Law Index 2012-2013'!AZ73,"AAAAAB+f66U=")</f>
        <v>#VALUE!</v>
      </c>
      <c r="FK60" t="e">
        <f>AND('WJP Rule of Law Index 2012-2013'!BA73,"AAAAAB+f66Y=")</f>
        <v>#VALUE!</v>
      </c>
      <c r="FL60" t="e">
        <f>AND('WJP Rule of Law Index 2012-2013'!BB73,"AAAAAB+f66c=")</f>
        <v>#VALUE!</v>
      </c>
      <c r="FM60" t="e">
        <f>AND('WJP Rule of Law Index 2012-2013'!BC73,"AAAAAB+f66g=")</f>
        <v>#VALUE!</v>
      </c>
      <c r="FN60" t="e">
        <f>AND('WJP Rule of Law Index 2012-2013'!L74,"AAAAAB+f66k=")</f>
        <v>#VALUE!</v>
      </c>
      <c r="FO60" t="e">
        <f>AND('WJP Rule of Law Index 2012-2013'!M74,"AAAAAB+f66o=")</f>
        <v>#VALUE!</v>
      </c>
      <c r="FP60" t="e">
        <f>AND('WJP Rule of Law Index 2012-2013'!N74,"AAAAAB+f66s=")</f>
        <v>#VALUE!</v>
      </c>
      <c r="FQ60" t="e">
        <f>AND('WJP Rule of Law Index 2012-2013'!O74,"AAAAAB+f66w=")</f>
        <v>#VALUE!</v>
      </c>
      <c r="FR60" t="e">
        <f>AND('WJP Rule of Law Index 2012-2013'!AU74,"AAAAAB+f660=")</f>
        <v>#VALUE!</v>
      </c>
      <c r="FS60" t="e">
        <f>AND('WJP Rule of Law Index 2012-2013'!AV74,"AAAAAB+f664=")</f>
        <v>#VALUE!</v>
      </c>
      <c r="FT60" t="e">
        <f>AND('WJP Rule of Law Index 2012-2013'!AW74,"AAAAAB+f668=")</f>
        <v>#VALUE!</v>
      </c>
      <c r="FU60" t="e">
        <f>AND('WJP Rule of Law Index 2012-2013'!AX74,"AAAAAB+f67A=")</f>
        <v>#VALUE!</v>
      </c>
      <c r="FV60" t="e">
        <f>AND('WJP Rule of Law Index 2012-2013'!AY74,"AAAAAB+f67E=")</f>
        <v>#VALUE!</v>
      </c>
      <c r="FW60" t="e">
        <f>AND('WJP Rule of Law Index 2012-2013'!AZ74,"AAAAAB+f67I=")</f>
        <v>#VALUE!</v>
      </c>
      <c r="FX60" t="e">
        <f>AND('WJP Rule of Law Index 2012-2013'!BA74,"AAAAAB+f67M=")</f>
        <v>#VALUE!</v>
      </c>
      <c r="FY60" t="e">
        <f>AND('WJP Rule of Law Index 2012-2013'!BB74,"AAAAAB+f67Q=")</f>
        <v>#VALUE!</v>
      </c>
      <c r="FZ60" t="e">
        <f>AND('WJP Rule of Law Index 2012-2013'!BC74,"AAAAAB+f67U=")</f>
        <v>#VALUE!</v>
      </c>
      <c r="GA60" t="e">
        <f>AND('WJP Rule of Law Index 2012-2013'!L75,"AAAAAB+f67Y=")</f>
        <v>#VALUE!</v>
      </c>
      <c r="GB60" t="e">
        <f>AND('WJP Rule of Law Index 2012-2013'!M75,"AAAAAB+f67c=")</f>
        <v>#VALUE!</v>
      </c>
      <c r="GC60" t="e">
        <f>AND('WJP Rule of Law Index 2012-2013'!N75,"AAAAAB+f67g=")</f>
        <v>#VALUE!</v>
      </c>
      <c r="GD60" t="e">
        <f>AND('WJP Rule of Law Index 2012-2013'!O75,"AAAAAB+f67k=")</f>
        <v>#VALUE!</v>
      </c>
      <c r="GE60" t="e">
        <f>AND('WJP Rule of Law Index 2012-2013'!AU75,"AAAAAB+f67o=")</f>
        <v>#VALUE!</v>
      </c>
      <c r="GF60" t="e">
        <f>AND('WJP Rule of Law Index 2012-2013'!AV75,"AAAAAB+f67s=")</f>
        <v>#VALUE!</v>
      </c>
      <c r="GG60" t="e">
        <f>AND('WJP Rule of Law Index 2012-2013'!AW75,"AAAAAB+f67w=")</f>
        <v>#VALUE!</v>
      </c>
      <c r="GH60" t="e">
        <f>AND('WJP Rule of Law Index 2012-2013'!AX75,"AAAAAB+f670=")</f>
        <v>#VALUE!</v>
      </c>
      <c r="GI60" t="e">
        <f>AND('WJP Rule of Law Index 2012-2013'!AY75,"AAAAAB+f674=")</f>
        <v>#VALUE!</v>
      </c>
      <c r="GJ60" t="e">
        <f>AND('WJP Rule of Law Index 2012-2013'!AZ75,"AAAAAB+f678=")</f>
        <v>#VALUE!</v>
      </c>
      <c r="GK60" t="e">
        <f>AND('WJP Rule of Law Index 2012-2013'!BA75,"AAAAAB+f68A=")</f>
        <v>#VALUE!</v>
      </c>
      <c r="GL60" t="e">
        <f>AND('WJP Rule of Law Index 2012-2013'!BB75,"AAAAAB+f68E=")</f>
        <v>#VALUE!</v>
      </c>
      <c r="GM60" t="e">
        <f>AND('WJP Rule of Law Index 2012-2013'!BC75,"AAAAAB+f68I=")</f>
        <v>#VALUE!</v>
      </c>
      <c r="GN60" t="e">
        <f>AND('WJP Rule of Law Index 2012-2013'!L76,"AAAAAB+f68M=")</f>
        <v>#VALUE!</v>
      </c>
      <c r="GO60" t="e">
        <f>AND('WJP Rule of Law Index 2012-2013'!M76,"AAAAAB+f68Q=")</f>
        <v>#VALUE!</v>
      </c>
      <c r="GP60" t="e">
        <f>AND('WJP Rule of Law Index 2012-2013'!N76,"AAAAAB+f68U=")</f>
        <v>#VALUE!</v>
      </c>
      <c r="GQ60" t="e">
        <f>AND('WJP Rule of Law Index 2012-2013'!O76,"AAAAAB+f68Y=")</f>
        <v>#VALUE!</v>
      </c>
      <c r="GR60" t="e">
        <f>AND('WJP Rule of Law Index 2012-2013'!AU76,"AAAAAB+f68c=")</f>
        <v>#VALUE!</v>
      </c>
      <c r="GS60" t="e">
        <f>AND('WJP Rule of Law Index 2012-2013'!AV76,"AAAAAB+f68g=")</f>
        <v>#VALUE!</v>
      </c>
      <c r="GT60" t="e">
        <f>AND('WJP Rule of Law Index 2012-2013'!AW76,"AAAAAB+f68k=")</f>
        <v>#VALUE!</v>
      </c>
      <c r="GU60" t="e">
        <f>AND('WJP Rule of Law Index 2012-2013'!AX76,"AAAAAB+f68o=")</f>
        <v>#VALUE!</v>
      </c>
      <c r="GV60" t="e">
        <f>AND('WJP Rule of Law Index 2012-2013'!AY76,"AAAAAB+f68s=")</f>
        <v>#VALUE!</v>
      </c>
      <c r="GW60" t="e">
        <f>AND('WJP Rule of Law Index 2012-2013'!AZ76,"AAAAAB+f68w=")</f>
        <v>#VALUE!</v>
      </c>
      <c r="GX60" t="e">
        <f>AND('WJP Rule of Law Index 2012-2013'!BA76,"AAAAAB+f680=")</f>
        <v>#VALUE!</v>
      </c>
      <c r="GY60" t="e">
        <f>AND('WJP Rule of Law Index 2012-2013'!BB76,"AAAAAB+f684=")</f>
        <v>#VALUE!</v>
      </c>
      <c r="GZ60" t="e">
        <f>AND('WJP Rule of Law Index 2012-2013'!BC76,"AAAAAB+f688=")</f>
        <v>#VALUE!</v>
      </c>
      <c r="HA60" t="e">
        <f>AND('WJP Rule of Law Index 2012-2013'!L77,"AAAAAB+f69A=")</f>
        <v>#VALUE!</v>
      </c>
      <c r="HB60" t="e">
        <f>AND('WJP Rule of Law Index 2012-2013'!M77,"AAAAAB+f69E=")</f>
        <v>#VALUE!</v>
      </c>
      <c r="HC60" t="e">
        <f>AND('WJP Rule of Law Index 2012-2013'!N77,"AAAAAB+f69I=")</f>
        <v>#VALUE!</v>
      </c>
      <c r="HD60" t="e">
        <f>AND('WJP Rule of Law Index 2012-2013'!O77,"AAAAAB+f69M=")</f>
        <v>#VALUE!</v>
      </c>
      <c r="HE60" t="e">
        <f>AND('WJP Rule of Law Index 2012-2013'!AU77,"AAAAAB+f69Q=")</f>
        <v>#VALUE!</v>
      </c>
      <c r="HF60" t="e">
        <f>AND('WJP Rule of Law Index 2012-2013'!AV77,"AAAAAB+f69U=")</f>
        <v>#VALUE!</v>
      </c>
      <c r="HG60" t="e">
        <f>AND('WJP Rule of Law Index 2012-2013'!AW77,"AAAAAB+f69Y=")</f>
        <v>#VALUE!</v>
      </c>
      <c r="HH60" t="e">
        <f>AND('WJP Rule of Law Index 2012-2013'!AX77,"AAAAAB+f69c=")</f>
        <v>#VALUE!</v>
      </c>
      <c r="HI60" t="e">
        <f>AND('WJP Rule of Law Index 2012-2013'!AY77,"AAAAAB+f69g=")</f>
        <v>#VALUE!</v>
      </c>
      <c r="HJ60" t="e">
        <f>AND('WJP Rule of Law Index 2012-2013'!AZ77,"AAAAAB+f69k=")</f>
        <v>#VALUE!</v>
      </c>
      <c r="HK60" t="e">
        <f>AND('WJP Rule of Law Index 2012-2013'!BA77,"AAAAAB+f69o=")</f>
        <v>#VALUE!</v>
      </c>
      <c r="HL60" t="e">
        <f>AND('WJP Rule of Law Index 2012-2013'!BB77,"AAAAAB+f69s=")</f>
        <v>#VALUE!</v>
      </c>
      <c r="HM60" t="e">
        <f>AND('WJP Rule of Law Index 2012-2013'!BC77,"AAAAAB+f69w=")</f>
        <v>#VALUE!</v>
      </c>
      <c r="HN60" t="e">
        <f>AND('WJP Rule of Law Index 2012-2013'!L78,"AAAAAB+f690=")</f>
        <v>#VALUE!</v>
      </c>
      <c r="HO60" t="e">
        <f>AND('WJP Rule of Law Index 2012-2013'!M78,"AAAAAB+f694=")</f>
        <v>#VALUE!</v>
      </c>
      <c r="HP60" t="e">
        <f>AND('WJP Rule of Law Index 2012-2013'!N78,"AAAAAB+f698=")</f>
        <v>#VALUE!</v>
      </c>
      <c r="HQ60" t="e">
        <f>AND('WJP Rule of Law Index 2012-2013'!O78,"AAAAAB+f6+A=")</f>
        <v>#VALUE!</v>
      </c>
      <c r="HR60" t="e">
        <f>AND('WJP Rule of Law Index 2012-2013'!AU78,"AAAAAB+f6+E=")</f>
        <v>#VALUE!</v>
      </c>
      <c r="HS60" t="e">
        <f>AND('WJP Rule of Law Index 2012-2013'!AV78,"AAAAAB+f6+I=")</f>
        <v>#VALUE!</v>
      </c>
      <c r="HT60" t="e">
        <f>AND('WJP Rule of Law Index 2012-2013'!AW78,"AAAAAB+f6+M=")</f>
        <v>#VALUE!</v>
      </c>
      <c r="HU60" t="e">
        <f>AND('WJP Rule of Law Index 2012-2013'!AX78,"AAAAAB+f6+Q=")</f>
        <v>#VALUE!</v>
      </c>
      <c r="HV60" t="e">
        <f>AND('WJP Rule of Law Index 2012-2013'!AY78,"AAAAAB+f6+U=")</f>
        <v>#VALUE!</v>
      </c>
      <c r="HW60" t="e">
        <f>AND('WJP Rule of Law Index 2012-2013'!AZ78,"AAAAAB+f6+Y=")</f>
        <v>#VALUE!</v>
      </c>
      <c r="HX60" t="e">
        <f>AND('WJP Rule of Law Index 2012-2013'!BA78,"AAAAAB+f6+c=")</f>
        <v>#VALUE!</v>
      </c>
      <c r="HY60" t="e">
        <f>AND('WJP Rule of Law Index 2012-2013'!BB78,"AAAAAB+f6+g=")</f>
        <v>#VALUE!</v>
      </c>
      <c r="HZ60" t="e">
        <f>AND('WJP Rule of Law Index 2012-2013'!BC78,"AAAAAB+f6+k=")</f>
        <v>#VALUE!</v>
      </c>
      <c r="IA60" t="e">
        <f>AND('WJP Rule of Law Index 2012-2013'!L79,"AAAAAB+f6+o=")</f>
        <v>#VALUE!</v>
      </c>
      <c r="IB60" t="e">
        <f>AND('WJP Rule of Law Index 2012-2013'!M79,"AAAAAB+f6+s=")</f>
        <v>#VALUE!</v>
      </c>
      <c r="IC60" t="e">
        <f>AND('WJP Rule of Law Index 2012-2013'!N79,"AAAAAB+f6+w=")</f>
        <v>#VALUE!</v>
      </c>
      <c r="ID60" t="e">
        <f>AND('WJP Rule of Law Index 2012-2013'!O79,"AAAAAB+f6+0=")</f>
        <v>#VALUE!</v>
      </c>
      <c r="IE60" t="e">
        <f>AND('WJP Rule of Law Index 2012-2013'!AU79,"AAAAAB+f6+4=")</f>
        <v>#VALUE!</v>
      </c>
      <c r="IF60" t="e">
        <f>AND('WJP Rule of Law Index 2012-2013'!AV79,"AAAAAB+f6+8=")</f>
        <v>#VALUE!</v>
      </c>
      <c r="IG60" t="e">
        <f>AND('WJP Rule of Law Index 2012-2013'!AW79,"AAAAAB+f6/A=")</f>
        <v>#VALUE!</v>
      </c>
      <c r="IH60" t="e">
        <f>AND('WJP Rule of Law Index 2012-2013'!AX79,"AAAAAB+f6/E=")</f>
        <v>#VALUE!</v>
      </c>
      <c r="II60" t="e">
        <f>AND('WJP Rule of Law Index 2012-2013'!AY79,"AAAAAB+f6/I=")</f>
        <v>#VALUE!</v>
      </c>
      <c r="IJ60" t="e">
        <f>AND('WJP Rule of Law Index 2012-2013'!AZ79,"AAAAAB+f6/M=")</f>
        <v>#VALUE!</v>
      </c>
      <c r="IK60" t="e">
        <f>AND('WJP Rule of Law Index 2012-2013'!BA79,"AAAAAB+f6/Q=")</f>
        <v>#VALUE!</v>
      </c>
      <c r="IL60" t="e">
        <f>AND('WJP Rule of Law Index 2012-2013'!BB79,"AAAAAB+f6/U=")</f>
        <v>#VALUE!</v>
      </c>
      <c r="IM60" t="e">
        <f>AND('WJP Rule of Law Index 2012-2013'!BC79,"AAAAAB+f6/Y=")</f>
        <v>#VALUE!</v>
      </c>
      <c r="IN60" t="e">
        <f>AND('WJP Rule of Law Index 2012-2013'!L80,"AAAAAB+f6/c=")</f>
        <v>#VALUE!</v>
      </c>
      <c r="IO60" t="e">
        <f>AND('WJP Rule of Law Index 2012-2013'!M80,"AAAAAB+f6/g=")</f>
        <v>#VALUE!</v>
      </c>
      <c r="IP60" t="e">
        <f>AND('WJP Rule of Law Index 2012-2013'!N80,"AAAAAB+f6/k=")</f>
        <v>#VALUE!</v>
      </c>
      <c r="IQ60" t="e">
        <f>AND('WJP Rule of Law Index 2012-2013'!O80,"AAAAAB+f6/o=")</f>
        <v>#VALUE!</v>
      </c>
      <c r="IR60" t="e">
        <f>AND('WJP Rule of Law Index 2012-2013'!AU80,"AAAAAB+f6/s=")</f>
        <v>#VALUE!</v>
      </c>
      <c r="IS60" t="e">
        <f>AND('WJP Rule of Law Index 2012-2013'!AV80,"AAAAAB+f6/w=")</f>
        <v>#VALUE!</v>
      </c>
      <c r="IT60" t="e">
        <f>AND('WJP Rule of Law Index 2012-2013'!AW80,"AAAAAB+f6/0=")</f>
        <v>#VALUE!</v>
      </c>
      <c r="IU60" t="e">
        <f>AND('WJP Rule of Law Index 2012-2013'!AX80,"AAAAAB+f6/4=")</f>
        <v>#VALUE!</v>
      </c>
      <c r="IV60" t="e">
        <f>AND('WJP Rule of Law Index 2012-2013'!AY80,"AAAAAB+f6/8=")</f>
        <v>#VALUE!</v>
      </c>
    </row>
    <row r="61" spans="1:246" ht="15">
      <c r="A61" t="e">
        <f>AND('WJP Rule of Law Index 2012-2013'!AZ80,"AAAAAF257gA=")</f>
        <v>#VALUE!</v>
      </c>
      <c r="B61" t="e">
        <f>AND('WJP Rule of Law Index 2012-2013'!BA80,"AAAAAF257gE=")</f>
        <v>#VALUE!</v>
      </c>
      <c r="C61" t="e">
        <f>AND('WJP Rule of Law Index 2012-2013'!BB80,"AAAAAF257gI=")</f>
        <v>#VALUE!</v>
      </c>
      <c r="D61" t="e">
        <f>AND('WJP Rule of Law Index 2012-2013'!BC80,"AAAAAF257gM=")</f>
        <v>#VALUE!</v>
      </c>
      <c r="E61" t="e">
        <f>AND('WJP Rule of Law Index 2012-2013'!L81,"AAAAAF257gQ=")</f>
        <v>#VALUE!</v>
      </c>
      <c r="F61" t="e">
        <f>AND('WJP Rule of Law Index 2012-2013'!M81,"AAAAAF257gU=")</f>
        <v>#VALUE!</v>
      </c>
      <c r="G61" t="e">
        <f>AND('WJP Rule of Law Index 2012-2013'!N81,"AAAAAF257gY=")</f>
        <v>#VALUE!</v>
      </c>
      <c r="H61" t="e">
        <f>AND('WJP Rule of Law Index 2012-2013'!O81,"AAAAAF257gc=")</f>
        <v>#VALUE!</v>
      </c>
      <c r="I61" t="e">
        <f>AND('WJP Rule of Law Index 2012-2013'!AU81,"AAAAAF257gg=")</f>
        <v>#VALUE!</v>
      </c>
      <c r="J61" t="e">
        <f>AND('WJP Rule of Law Index 2012-2013'!AV81,"AAAAAF257gk=")</f>
        <v>#VALUE!</v>
      </c>
      <c r="K61" t="e">
        <f>AND('WJP Rule of Law Index 2012-2013'!AW81,"AAAAAF257go=")</f>
        <v>#VALUE!</v>
      </c>
      <c r="L61" t="e">
        <f>AND('WJP Rule of Law Index 2012-2013'!AX81,"AAAAAF257gs=")</f>
        <v>#VALUE!</v>
      </c>
      <c r="M61" t="e">
        <f>AND('WJP Rule of Law Index 2012-2013'!AY81,"AAAAAF257gw=")</f>
        <v>#VALUE!</v>
      </c>
      <c r="N61" t="e">
        <f>AND('WJP Rule of Law Index 2012-2013'!AZ81,"AAAAAF257g0=")</f>
        <v>#VALUE!</v>
      </c>
      <c r="O61" t="e">
        <f>AND('WJP Rule of Law Index 2012-2013'!BA81,"AAAAAF257g4=")</f>
        <v>#VALUE!</v>
      </c>
      <c r="P61" t="e">
        <f>AND('WJP Rule of Law Index 2012-2013'!BB81,"AAAAAF257g8=")</f>
        <v>#VALUE!</v>
      </c>
      <c r="Q61" t="e">
        <f>AND('WJP Rule of Law Index 2012-2013'!BC81,"AAAAAF257hA=")</f>
        <v>#VALUE!</v>
      </c>
      <c r="R61" t="e">
        <f>AND('WJP Rule of Law Index 2012-2013'!L82,"AAAAAF257hE=")</f>
        <v>#VALUE!</v>
      </c>
      <c r="S61" t="e">
        <f>AND('WJP Rule of Law Index 2012-2013'!M82,"AAAAAF257hI=")</f>
        <v>#VALUE!</v>
      </c>
      <c r="T61" t="e">
        <f>AND('WJP Rule of Law Index 2012-2013'!N82,"AAAAAF257hM=")</f>
        <v>#VALUE!</v>
      </c>
      <c r="U61" t="e">
        <f>AND('WJP Rule of Law Index 2012-2013'!O82,"AAAAAF257hQ=")</f>
        <v>#VALUE!</v>
      </c>
      <c r="V61" t="e">
        <f>AND('WJP Rule of Law Index 2012-2013'!AU82,"AAAAAF257hU=")</f>
        <v>#VALUE!</v>
      </c>
      <c r="W61" t="e">
        <f>AND('WJP Rule of Law Index 2012-2013'!AV82,"AAAAAF257hY=")</f>
        <v>#VALUE!</v>
      </c>
      <c r="X61" t="e">
        <f>AND('WJP Rule of Law Index 2012-2013'!AW82,"AAAAAF257hc=")</f>
        <v>#VALUE!</v>
      </c>
      <c r="Y61" t="e">
        <f>AND('WJP Rule of Law Index 2012-2013'!AX82,"AAAAAF257hg=")</f>
        <v>#VALUE!</v>
      </c>
      <c r="Z61" t="e">
        <f>AND('WJP Rule of Law Index 2012-2013'!AY82,"AAAAAF257hk=")</f>
        <v>#VALUE!</v>
      </c>
      <c r="AA61" t="e">
        <f>AND('WJP Rule of Law Index 2012-2013'!AZ82,"AAAAAF257ho=")</f>
        <v>#VALUE!</v>
      </c>
      <c r="AB61" t="e">
        <f>AND('WJP Rule of Law Index 2012-2013'!BA82,"AAAAAF257hs=")</f>
        <v>#VALUE!</v>
      </c>
      <c r="AC61" t="e">
        <f>AND('WJP Rule of Law Index 2012-2013'!BB82,"AAAAAF257hw=")</f>
        <v>#VALUE!</v>
      </c>
      <c r="AD61" t="e">
        <f>AND('WJP Rule of Law Index 2012-2013'!BC82,"AAAAAF257h0=")</f>
        <v>#VALUE!</v>
      </c>
      <c r="AE61" t="e">
        <f>AND('WJP Rule of Law Index 2012-2013'!L83,"AAAAAF257h4=")</f>
        <v>#VALUE!</v>
      </c>
      <c r="AF61" t="e">
        <f>AND('WJP Rule of Law Index 2012-2013'!M83,"AAAAAF257h8=")</f>
        <v>#VALUE!</v>
      </c>
      <c r="AG61" t="e">
        <f>AND('WJP Rule of Law Index 2012-2013'!N83,"AAAAAF257iA=")</f>
        <v>#VALUE!</v>
      </c>
      <c r="AH61" t="e">
        <f>AND('WJP Rule of Law Index 2012-2013'!O83,"AAAAAF257iE=")</f>
        <v>#VALUE!</v>
      </c>
      <c r="AI61" t="e">
        <f>AND('WJP Rule of Law Index 2012-2013'!AU83,"AAAAAF257iI=")</f>
        <v>#VALUE!</v>
      </c>
      <c r="AJ61" t="e">
        <f>AND('WJP Rule of Law Index 2012-2013'!AV83,"AAAAAF257iM=")</f>
        <v>#VALUE!</v>
      </c>
      <c r="AK61" t="e">
        <f>AND('WJP Rule of Law Index 2012-2013'!AW83,"AAAAAF257iQ=")</f>
        <v>#VALUE!</v>
      </c>
      <c r="AL61" t="e">
        <f>AND('WJP Rule of Law Index 2012-2013'!AX83,"AAAAAF257iU=")</f>
        <v>#VALUE!</v>
      </c>
      <c r="AM61" t="e">
        <f>AND('WJP Rule of Law Index 2012-2013'!AY83,"AAAAAF257iY=")</f>
        <v>#VALUE!</v>
      </c>
      <c r="AN61" t="e">
        <f>AND('WJP Rule of Law Index 2012-2013'!AZ83,"AAAAAF257ic=")</f>
        <v>#VALUE!</v>
      </c>
      <c r="AO61" t="e">
        <f>AND('WJP Rule of Law Index 2012-2013'!BA83,"AAAAAF257ig=")</f>
        <v>#VALUE!</v>
      </c>
      <c r="AP61" t="e">
        <f>AND('WJP Rule of Law Index 2012-2013'!BB83,"AAAAAF257ik=")</f>
        <v>#VALUE!</v>
      </c>
      <c r="AQ61" t="e">
        <f>AND('WJP Rule of Law Index 2012-2013'!BC83,"AAAAAF257io=")</f>
        <v>#VALUE!</v>
      </c>
      <c r="AR61" t="e">
        <f>AND('WJP Rule of Law Index 2012-2013'!L84,"AAAAAF257is=")</f>
        <v>#VALUE!</v>
      </c>
      <c r="AS61" t="e">
        <f>AND('WJP Rule of Law Index 2012-2013'!M84,"AAAAAF257iw=")</f>
        <v>#VALUE!</v>
      </c>
      <c r="AT61" t="e">
        <f>AND('WJP Rule of Law Index 2012-2013'!N84,"AAAAAF257i0=")</f>
        <v>#VALUE!</v>
      </c>
      <c r="AU61" t="e">
        <f>AND('WJP Rule of Law Index 2012-2013'!O84,"AAAAAF257i4=")</f>
        <v>#VALUE!</v>
      </c>
      <c r="AV61" t="e">
        <f>AND('WJP Rule of Law Index 2012-2013'!AU84,"AAAAAF257i8=")</f>
        <v>#VALUE!</v>
      </c>
      <c r="AW61" t="e">
        <f>AND('WJP Rule of Law Index 2012-2013'!AV84,"AAAAAF257jA=")</f>
        <v>#VALUE!</v>
      </c>
      <c r="AX61" t="e">
        <f>AND('WJP Rule of Law Index 2012-2013'!AW84,"AAAAAF257jE=")</f>
        <v>#VALUE!</v>
      </c>
      <c r="AY61" t="e">
        <f>AND('WJP Rule of Law Index 2012-2013'!AX84,"AAAAAF257jI=")</f>
        <v>#VALUE!</v>
      </c>
      <c r="AZ61" t="e">
        <f>AND('WJP Rule of Law Index 2012-2013'!AY84,"AAAAAF257jM=")</f>
        <v>#VALUE!</v>
      </c>
      <c r="BA61" t="e">
        <f>AND('WJP Rule of Law Index 2012-2013'!AZ84,"AAAAAF257jQ=")</f>
        <v>#VALUE!</v>
      </c>
      <c r="BB61" t="e">
        <f>AND('WJP Rule of Law Index 2012-2013'!BA84,"AAAAAF257jU=")</f>
        <v>#VALUE!</v>
      </c>
      <c r="BC61" t="e">
        <f>AND('WJP Rule of Law Index 2012-2013'!BB84,"AAAAAF257jY=")</f>
        <v>#VALUE!</v>
      </c>
      <c r="BD61" t="e">
        <f>AND('WJP Rule of Law Index 2012-2013'!BC84,"AAAAAF257jc=")</f>
        <v>#VALUE!</v>
      </c>
      <c r="BE61" t="e">
        <f>AND('WJP Rule of Law Index 2012-2013'!L85,"AAAAAF257jg=")</f>
        <v>#VALUE!</v>
      </c>
      <c r="BF61" t="e">
        <f>AND('WJP Rule of Law Index 2012-2013'!M85,"AAAAAF257jk=")</f>
        <v>#VALUE!</v>
      </c>
      <c r="BG61" t="e">
        <f>AND('WJP Rule of Law Index 2012-2013'!N85,"AAAAAF257jo=")</f>
        <v>#VALUE!</v>
      </c>
      <c r="BH61" t="e">
        <f>AND('WJP Rule of Law Index 2012-2013'!O85,"AAAAAF257js=")</f>
        <v>#VALUE!</v>
      </c>
      <c r="BI61" t="e">
        <f>AND('WJP Rule of Law Index 2012-2013'!AU85,"AAAAAF257jw=")</f>
        <v>#VALUE!</v>
      </c>
      <c r="BJ61" t="e">
        <f>AND('WJP Rule of Law Index 2012-2013'!AV85,"AAAAAF257j0=")</f>
        <v>#VALUE!</v>
      </c>
      <c r="BK61" t="e">
        <f>AND('WJP Rule of Law Index 2012-2013'!AW85,"AAAAAF257j4=")</f>
        <v>#VALUE!</v>
      </c>
      <c r="BL61" t="e">
        <f>AND('WJP Rule of Law Index 2012-2013'!AX85,"AAAAAF257j8=")</f>
        <v>#VALUE!</v>
      </c>
      <c r="BM61" t="e">
        <f>AND('WJP Rule of Law Index 2012-2013'!AY85,"AAAAAF257kA=")</f>
        <v>#VALUE!</v>
      </c>
      <c r="BN61" t="e">
        <f>AND('WJP Rule of Law Index 2012-2013'!AZ85,"AAAAAF257kE=")</f>
        <v>#VALUE!</v>
      </c>
      <c r="BO61" t="e">
        <f>AND('WJP Rule of Law Index 2012-2013'!BA85,"AAAAAF257kI=")</f>
        <v>#VALUE!</v>
      </c>
      <c r="BP61" t="e">
        <f>AND('WJP Rule of Law Index 2012-2013'!BB85,"AAAAAF257kM=")</f>
        <v>#VALUE!</v>
      </c>
      <c r="BQ61" t="e">
        <f>AND('WJP Rule of Law Index 2012-2013'!BC85,"AAAAAF257kQ=")</f>
        <v>#VALUE!</v>
      </c>
      <c r="BR61" t="e">
        <f>AND('WJP Rule of Law Index 2012-2013'!L86,"AAAAAF257kU=")</f>
        <v>#VALUE!</v>
      </c>
      <c r="BS61" t="e">
        <f>AND('WJP Rule of Law Index 2012-2013'!M86,"AAAAAF257kY=")</f>
        <v>#VALUE!</v>
      </c>
      <c r="BT61" t="e">
        <f>AND('WJP Rule of Law Index 2012-2013'!N86,"AAAAAF257kc=")</f>
        <v>#VALUE!</v>
      </c>
      <c r="BU61" t="e">
        <f>AND('WJP Rule of Law Index 2012-2013'!O86,"AAAAAF257kg=")</f>
        <v>#VALUE!</v>
      </c>
      <c r="BV61" t="e">
        <f>AND('WJP Rule of Law Index 2012-2013'!AU86,"AAAAAF257kk=")</f>
        <v>#VALUE!</v>
      </c>
      <c r="BW61" t="e">
        <f>AND('WJP Rule of Law Index 2012-2013'!AV86,"AAAAAF257ko=")</f>
        <v>#VALUE!</v>
      </c>
      <c r="BX61" t="e">
        <f>AND('WJP Rule of Law Index 2012-2013'!AW86,"AAAAAF257ks=")</f>
        <v>#VALUE!</v>
      </c>
      <c r="BY61" t="e">
        <f>AND('WJP Rule of Law Index 2012-2013'!AX86,"AAAAAF257kw=")</f>
        <v>#VALUE!</v>
      </c>
      <c r="BZ61" t="e">
        <f>AND('WJP Rule of Law Index 2012-2013'!AY86,"AAAAAF257k0=")</f>
        <v>#VALUE!</v>
      </c>
      <c r="CA61" t="e">
        <f>AND('WJP Rule of Law Index 2012-2013'!AZ86,"AAAAAF257k4=")</f>
        <v>#VALUE!</v>
      </c>
      <c r="CB61" t="e">
        <f>AND('WJP Rule of Law Index 2012-2013'!BA86,"AAAAAF257k8=")</f>
        <v>#VALUE!</v>
      </c>
      <c r="CC61" t="e">
        <f>AND('WJP Rule of Law Index 2012-2013'!BB86,"AAAAAF257lA=")</f>
        <v>#VALUE!</v>
      </c>
      <c r="CD61" t="e">
        <f>AND('WJP Rule of Law Index 2012-2013'!BC86,"AAAAAF257lE=")</f>
        <v>#VALUE!</v>
      </c>
      <c r="CE61" t="e">
        <f>AND('WJP Rule of Law Index 2012-2013'!L87,"AAAAAF257lI=")</f>
        <v>#VALUE!</v>
      </c>
      <c r="CF61" t="e">
        <f>AND('WJP Rule of Law Index 2012-2013'!M87,"AAAAAF257lM=")</f>
        <v>#VALUE!</v>
      </c>
      <c r="CG61" t="e">
        <f>AND('WJP Rule of Law Index 2012-2013'!N87,"AAAAAF257lQ=")</f>
        <v>#VALUE!</v>
      </c>
      <c r="CH61" t="e">
        <f>AND('WJP Rule of Law Index 2012-2013'!O87,"AAAAAF257lU=")</f>
        <v>#VALUE!</v>
      </c>
      <c r="CI61" t="e">
        <f>AND('WJP Rule of Law Index 2012-2013'!AU87,"AAAAAF257lY=")</f>
        <v>#VALUE!</v>
      </c>
      <c r="CJ61" t="e">
        <f>AND('WJP Rule of Law Index 2012-2013'!AV87,"AAAAAF257lc=")</f>
        <v>#VALUE!</v>
      </c>
      <c r="CK61" t="e">
        <f>AND('WJP Rule of Law Index 2012-2013'!AW87,"AAAAAF257lg=")</f>
        <v>#VALUE!</v>
      </c>
      <c r="CL61" t="e">
        <f>AND('WJP Rule of Law Index 2012-2013'!AX87,"AAAAAF257lk=")</f>
        <v>#VALUE!</v>
      </c>
      <c r="CM61" t="e">
        <f>AND('WJP Rule of Law Index 2012-2013'!AY87,"AAAAAF257lo=")</f>
        <v>#VALUE!</v>
      </c>
      <c r="CN61" t="e">
        <f>AND('WJP Rule of Law Index 2012-2013'!AZ87,"AAAAAF257ls=")</f>
        <v>#VALUE!</v>
      </c>
      <c r="CO61" t="e">
        <f>AND('WJP Rule of Law Index 2012-2013'!BA87,"AAAAAF257lw=")</f>
        <v>#VALUE!</v>
      </c>
      <c r="CP61" t="e">
        <f>AND('WJP Rule of Law Index 2012-2013'!BB87,"AAAAAF257l0=")</f>
        <v>#VALUE!</v>
      </c>
      <c r="CQ61" t="e">
        <f>AND('WJP Rule of Law Index 2012-2013'!BC87,"AAAAAF257l4=")</f>
        <v>#VALUE!</v>
      </c>
      <c r="CR61" t="e">
        <f>AND('WJP Rule of Law Index 2012-2013'!L88,"AAAAAF257l8=")</f>
        <v>#VALUE!</v>
      </c>
      <c r="CS61" t="e">
        <f>AND('WJP Rule of Law Index 2012-2013'!M88,"AAAAAF257mA=")</f>
        <v>#VALUE!</v>
      </c>
      <c r="CT61" t="e">
        <f>AND('WJP Rule of Law Index 2012-2013'!N88,"AAAAAF257mE=")</f>
        <v>#VALUE!</v>
      </c>
      <c r="CU61" t="e">
        <f>AND('WJP Rule of Law Index 2012-2013'!O88,"AAAAAF257mI=")</f>
        <v>#VALUE!</v>
      </c>
      <c r="CV61" t="e">
        <f>AND('WJP Rule of Law Index 2012-2013'!AU88,"AAAAAF257mM=")</f>
        <v>#VALUE!</v>
      </c>
      <c r="CW61" t="e">
        <f>AND('WJP Rule of Law Index 2012-2013'!AV88,"AAAAAF257mQ=")</f>
        <v>#VALUE!</v>
      </c>
      <c r="CX61" t="e">
        <f>AND('WJP Rule of Law Index 2012-2013'!AW88,"AAAAAF257mU=")</f>
        <v>#VALUE!</v>
      </c>
      <c r="CY61" t="e">
        <f>AND('WJP Rule of Law Index 2012-2013'!AX88,"AAAAAF257mY=")</f>
        <v>#VALUE!</v>
      </c>
      <c r="CZ61" t="e">
        <f>AND('WJP Rule of Law Index 2012-2013'!AY88,"AAAAAF257mc=")</f>
        <v>#VALUE!</v>
      </c>
      <c r="DA61" t="e">
        <f>AND('WJP Rule of Law Index 2012-2013'!AZ88,"AAAAAF257mg=")</f>
        <v>#VALUE!</v>
      </c>
      <c r="DB61" t="e">
        <f>AND('WJP Rule of Law Index 2012-2013'!BA88,"AAAAAF257mk=")</f>
        <v>#VALUE!</v>
      </c>
      <c r="DC61" t="e">
        <f>AND('WJP Rule of Law Index 2012-2013'!BB88,"AAAAAF257mo=")</f>
        <v>#VALUE!</v>
      </c>
      <c r="DD61" t="e">
        <f>AND('WJP Rule of Law Index 2012-2013'!BC88,"AAAAAF257ms=")</f>
        <v>#VALUE!</v>
      </c>
      <c r="DE61" t="e">
        <f>AND('WJP Rule of Law Index 2012-2013'!L89,"AAAAAF257mw=")</f>
        <v>#VALUE!</v>
      </c>
      <c r="DF61" t="e">
        <f>AND('WJP Rule of Law Index 2012-2013'!M89,"AAAAAF257m0=")</f>
        <v>#VALUE!</v>
      </c>
      <c r="DG61" t="e">
        <f>AND('WJP Rule of Law Index 2012-2013'!N89,"AAAAAF257m4=")</f>
        <v>#VALUE!</v>
      </c>
      <c r="DH61" t="e">
        <f>AND('WJP Rule of Law Index 2012-2013'!O89,"AAAAAF257m8=")</f>
        <v>#VALUE!</v>
      </c>
      <c r="DI61" t="e">
        <f>AND('WJP Rule of Law Index 2012-2013'!AU89,"AAAAAF257nA=")</f>
        <v>#VALUE!</v>
      </c>
      <c r="DJ61" t="e">
        <f>AND('WJP Rule of Law Index 2012-2013'!AV89,"AAAAAF257nE=")</f>
        <v>#VALUE!</v>
      </c>
      <c r="DK61" t="e">
        <f>AND('WJP Rule of Law Index 2012-2013'!AW89,"AAAAAF257nI=")</f>
        <v>#VALUE!</v>
      </c>
      <c r="DL61" t="e">
        <f>AND('WJP Rule of Law Index 2012-2013'!AX89,"AAAAAF257nM=")</f>
        <v>#VALUE!</v>
      </c>
      <c r="DM61" t="e">
        <f>AND('WJP Rule of Law Index 2012-2013'!AY89,"AAAAAF257nQ=")</f>
        <v>#VALUE!</v>
      </c>
      <c r="DN61" t="e">
        <f>AND('WJP Rule of Law Index 2012-2013'!AZ89,"AAAAAF257nU=")</f>
        <v>#VALUE!</v>
      </c>
      <c r="DO61" t="e">
        <f>AND('WJP Rule of Law Index 2012-2013'!BA89,"AAAAAF257nY=")</f>
        <v>#VALUE!</v>
      </c>
      <c r="DP61" t="e">
        <f>AND('WJP Rule of Law Index 2012-2013'!BB89,"AAAAAF257nc=")</f>
        <v>#VALUE!</v>
      </c>
      <c r="DQ61" t="e">
        <f>AND('WJP Rule of Law Index 2012-2013'!BC89,"AAAAAF257ng=")</f>
        <v>#VALUE!</v>
      </c>
      <c r="DR61" t="e">
        <f>AND('WJP Rule of Law Index 2012-2013'!L90,"AAAAAF257nk=")</f>
        <v>#VALUE!</v>
      </c>
      <c r="DS61" t="e">
        <f>AND('WJP Rule of Law Index 2012-2013'!M90,"AAAAAF257no=")</f>
        <v>#VALUE!</v>
      </c>
      <c r="DT61" t="e">
        <f>AND('WJP Rule of Law Index 2012-2013'!N90,"AAAAAF257ns=")</f>
        <v>#VALUE!</v>
      </c>
      <c r="DU61" t="e">
        <f>AND('WJP Rule of Law Index 2012-2013'!O90,"AAAAAF257nw=")</f>
        <v>#VALUE!</v>
      </c>
      <c r="DV61" t="e">
        <f>AND('WJP Rule of Law Index 2012-2013'!AU90,"AAAAAF257n0=")</f>
        <v>#VALUE!</v>
      </c>
      <c r="DW61" t="e">
        <f>AND('WJP Rule of Law Index 2012-2013'!AV90,"AAAAAF257n4=")</f>
        <v>#VALUE!</v>
      </c>
      <c r="DX61" t="e">
        <f>AND('WJP Rule of Law Index 2012-2013'!AW90,"AAAAAF257n8=")</f>
        <v>#VALUE!</v>
      </c>
      <c r="DY61" t="e">
        <f>AND('WJP Rule of Law Index 2012-2013'!AX90,"AAAAAF257oA=")</f>
        <v>#VALUE!</v>
      </c>
      <c r="DZ61" t="e">
        <f>AND('WJP Rule of Law Index 2012-2013'!AY90,"AAAAAF257oE=")</f>
        <v>#VALUE!</v>
      </c>
      <c r="EA61" t="e">
        <f>AND('WJP Rule of Law Index 2012-2013'!AZ90,"AAAAAF257oI=")</f>
        <v>#VALUE!</v>
      </c>
      <c r="EB61" t="e">
        <f>AND('WJP Rule of Law Index 2012-2013'!BA90,"AAAAAF257oM=")</f>
        <v>#VALUE!</v>
      </c>
      <c r="EC61" t="e">
        <f>AND('WJP Rule of Law Index 2012-2013'!BB90,"AAAAAF257oQ=")</f>
        <v>#VALUE!</v>
      </c>
      <c r="ED61" t="e">
        <f>AND('WJP Rule of Law Index 2012-2013'!BC90,"AAAAAF257oU=")</f>
        <v>#VALUE!</v>
      </c>
      <c r="EE61" t="e">
        <f>AND('WJP Rule of Law Index 2012-2013'!L91,"AAAAAF257oY=")</f>
        <v>#VALUE!</v>
      </c>
      <c r="EF61" t="e">
        <f>AND('WJP Rule of Law Index 2012-2013'!M91,"AAAAAF257oc=")</f>
        <v>#VALUE!</v>
      </c>
      <c r="EG61" t="e">
        <f>AND('WJP Rule of Law Index 2012-2013'!N91,"AAAAAF257og=")</f>
        <v>#VALUE!</v>
      </c>
      <c r="EH61" t="e">
        <f>AND('WJP Rule of Law Index 2012-2013'!O91,"AAAAAF257ok=")</f>
        <v>#VALUE!</v>
      </c>
      <c r="EI61" t="e">
        <f>AND('WJP Rule of Law Index 2012-2013'!AU91,"AAAAAF257oo=")</f>
        <v>#VALUE!</v>
      </c>
      <c r="EJ61" t="e">
        <f>AND('WJP Rule of Law Index 2012-2013'!AV91,"AAAAAF257os=")</f>
        <v>#VALUE!</v>
      </c>
      <c r="EK61" t="e">
        <f>AND('WJP Rule of Law Index 2012-2013'!AW91,"AAAAAF257ow=")</f>
        <v>#VALUE!</v>
      </c>
      <c r="EL61" t="e">
        <f>AND('WJP Rule of Law Index 2012-2013'!AX91,"AAAAAF257o0=")</f>
        <v>#VALUE!</v>
      </c>
      <c r="EM61" t="e">
        <f>AND('WJP Rule of Law Index 2012-2013'!AY91,"AAAAAF257o4=")</f>
        <v>#VALUE!</v>
      </c>
      <c r="EN61" t="e">
        <f>AND('WJP Rule of Law Index 2012-2013'!AZ91,"AAAAAF257o8=")</f>
        <v>#VALUE!</v>
      </c>
      <c r="EO61" t="e">
        <f>AND('WJP Rule of Law Index 2012-2013'!BA91,"AAAAAF257pA=")</f>
        <v>#VALUE!</v>
      </c>
      <c r="EP61" t="e">
        <f>AND('WJP Rule of Law Index 2012-2013'!BB91,"AAAAAF257pE=")</f>
        <v>#VALUE!</v>
      </c>
      <c r="EQ61" t="e">
        <f>AND('WJP Rule of Law Index 2012-2013'!BC91,"AAAAAF257pI=")</f>
        <v>#VALUE!</v>
      </c>
      <c r="ER61" t="e">
        <f>AND('WJP Rule of Law Index 2012-2013'!L92,"AAAAAF257pM=")</f>
        <v>#VALUE!</v>
      </c>
      <c r="ES61" t="e">
        <f>AND('WJP Rule of Law Index 2012-2013'!M92,"AAAAAF257pQ=")</f>
        <v>#VALUE!</v>
      </c>
      <c r="ET61" t="e">
        <f>AND('WJP Rule of Law Index 2012-2013'!N92,"AAAAAF257pU=")</f>
        <v>#VALUE!</v>
      </c>
      <c r="EU61" t="e">
        <f>AND('WJP Rule of Law Index 2012-2013'!O92,"AAAAAF257pY=")</f>
        <v>#VALUE!</v>
      </c>
      <c r="EV61" t="e">
        <f>AND('WJP Rule of Law Index 2012-2013'!AU92,"AAAAAF257pc=")</f>
        <v>#VALUE!</v>
      </c>
      <c r="EW61" t="e">
        <f>AND('WJP Rule of Law Index 2012-2013'!AV92,"AAAAAF257pg=")</f>
        <v>#VALUE!</v>
      </c>
      <c r="EX61" t="e">
        <f>AND('WJP Rule of Law Index 2012-2013'!AW92,"AAAAAF257pk=")</f>
        <v>#VALUE!</v>
      </c>
      <c r="EY61" t="e">
        <f>AND('WJP Rule of Law Index 2012-2013'!AX92,"AAAAAF257po=")</f>
        <v>#VALUE!</v>
      </c>
      <c r="EZ61" t="e">
        <f>AND('WJP Rule of Law Index 2012-2013'!AY92,"AAAAAF257ps=")</f>
        <v>#VALUE!</v>
      </c>
      <c r="FA61" t="e">
        <f>AND('WJP Rule of Law Index 2012-2013'!AZ92,"AAAAAF257pw=")</f>
        <v>#VALUE!</v>
      </c>
      <c r="FB61" t="e">
        <f>AND('WJP Rule of Law Index 2012-2013'!BA92,"AAAAAF257p0=")</f>
        <v>#VALUE!</v>
      </c>
      <c r="FC61" t="e">
        <f>AND('WJP Rule of Law Index 2012-2013'!BB92,"AAAAAF257p4=")</f>
        <v>#VALUE!</v>
      </c>
      <c r="FD61" t="e">
        <f>AND('WJP Rule of Law Index 2012-2013'!BC92,"AAAAAF257p8=")</f>
        <v>#VALUE!</v>
      </c>
      <c r="FE61" t="e">
        <f>AND('WJP Rule of Law Index 2012-2013'!L93,"AAAAAF257qA=")</f>
        <v>#VALUE!</v>
      </c>
      <c r="FF61" t="e">
        <f>AND('WJP Rule of Law Index 2012-2013'!M93,"AAAAAF257qE=")</f>
        <v>#VALUE!</v>
      </c>
      <c r="FG61" t="e">
        <f>AND('WJP Rule of Law Index 2012-2013'!N93,"AAAAAF257qI=")</f>
        <v>#VALUE!</v>
      </c>
      <c r="FH61" t="e">
        <f>AND('WJP Rule of Law Index 2012-2013'!O93,"AAAAAF257qM=")</f>
        <v>#VALUE!</v>
      </c>
      <c r="FI61" t="e">
        <f>AND('WJP Rule of Law Index 2012-2013'!AU93,"AAAAAF257qQ=")</f>
        <v>#VALUE!</v>
      </c>
      <c r="FJ61" t="e">
        <f>AND('WJP Rule of Law Index 2012-2013'!AV93,"AAAAAF257qU=")</f>
        <v>#VALUE!</v>
      </c>
      <c r="FK61" t="e">
        <f>AND('WJP Rule of Law Index 2012-2013'!AW93,"AAAAAF257qY=")</f>
        <v>#VALUE!</v>
      </c>
      <c r="FL61" t="e">
        <f>AND('WJP Rule of Law Index 2012-2013'!AX93,"AAAAAF257qc=")</f>
        <v>#VALUE!</v>
      </c>
      <c r="FM61" t="e">
        <f>AND('WJP Rule of Law Index 2012-2013'!AY93,"AAAAAF257qg=")</f>
        <v>#VALUE!</v>
      </c>
      <c r="FN61" t="e">
        <f>AND('WJP Rule of Law Index 2012-2013'!AZ93,"AAAAAF257qk=")</f>
        <v>#VALUE!</v>
      </c>
      <c r="FO61" t="e">
        <f>AND('WJP Rule of Law Index 2012-2013'!BA93,"AAAAAF257qo=")</f>
        <v>#VALUE!</v>
      </c>
      <c r="FP61" t="e">
        <f>AND('WJP Rule of Law Index 2012-2013'!BB93,"AAAAAF257qs=")</f>
        <v>#VALUE!</v>
      </c>
      <c r="FQ61" t="e">
        <f>AND('WJP Rule of Law Index 2012-2013'!BC93,"AAAAAF257qw=")</f>
        <v>#VALUE!</v>
      </c>
      <c r="FR61" t="e">
        <f>AND('WJP Rule of Law Index 2012-2013'!L94,"AAAAAF257q0=")</f>
        <v>#VALUE!</v>
      </c>
      <c r="FS61" t="e">
        <f>AND('WJP Rule of Law Index 2012-2013'!M94,"AAAAAF257q4=")</f>
        <v>#VALUE!</v>
      </c>
      <c r="FT61" t="e">
        <f>AND('WJP Rule of Law Index 2012-2013'!N94,"AAAAAF257q8=")</f>
        <v>#VALUE!</v>
      </c>
      <c r="FU61" t="e">
        <f>AND('WJP Rule of Law Index 2012-2013'!O94,"AAAAAF257rA=")</f>
        <v>#VALUE!</v>
      </c>
      <c r="FV61" t="e">
        <f>AND('WJP Rule of Law Index 2012-2013'!AU94,"AAAAAF257rE=")</f>
        <v>#VALUE!</v>
      </c>
      <c r="FW61" t="e">
        <f>AND('WJP Rule of Law Index 2012-2013'!AV94,"AAAAAF257rI=")</f>
        <v>#VALUE!</v>
      </c>
      <c r="FX61" t="e">
        <f>AND('WJP Rule of Law Index 2012-2013'!AW94,"AAAAAF257rM=")</f>
        <v>#VALUE!</v>
      </c>
      <c r="FY61" t="e">
        <f>AND('WJP Rule of Law Index 2012-2013'!AX94,"AAAAAF257rQ=")</f>
        <v>#VALUE!</v>
      </c>
      <c r="FZ61" t="e">
        <f>AND('WJP Rule of Law Index 2012-2013'!AY94,"AAAAAF257rU=")</f>
        <v>#VALUE!</v>
      </c>
      <c r="GA61" t="e">
        <f>AND('WJP Rule of Law Index 2012-2013'!AZ94,"AAAAAF257rY=")</f>
        <v>#VALUE!</v>
      </c>
      <c r="GB61" t="e">
        <f>AND('WJP Rule of Law Index 2012-2013'!BA94,"AAAAAF257rc=")</f>
        <v>#VALUE!</v>
      </c>
      <c r="GC61" t="e">
        <f>AND('WJP Rule of Law Index 2012-2013'!BB94,"AAAAAF257rg=")</f>
        <v>#VALUE!</v>
      </c>
      <c r="GD61" t="e">
        <f>AND('WJP Rule of Law Index 2012-2013'!BC94,"AAAAAF257rk=")</f>
        <v>#VALUE!</v>
      </c>
      <c r="GE61" t="e">
        <f>AND('WJP Rule of Law Index 2012-2013'!L95,"AAAAAF257ro=")</f>
        <v>#VALUE!</v>
      </c>
      <c r="GF61" t="e">
        <f>AND('WJP Rule of Law Index 2012-2013'!M95,"AAAAAF257rs=")</f>
        <v>#VALUE!</v>
      </c>
      <c r="GG61" t="e">
        <f>AND('WJP Rule of Law Index 2012-2013'!N95,"AAAAAF257rw=")</f>
        <v>#VALUE!</v>
      </c>
      <c r="GH61" t="e">
        <f>AND('WJP Rule of Law Index 2012-2013'!O95,"AAAAAF257r0=")</f>
        <v>#VALUE!</v>
      </c>
      <c r="GI61" t="e">
        <f>AND('WJP Rule of Law Index 2012-2013'!AU95,"AAAAAF257r4=")</f>
        <v>#VALUE!</v>
      </c>
      <c r="GJ61" t="e">
        <f>AND('WJP Rule of Law Index 2012-2013'!AV95,"AAAAAF257r8=")</f>
        <v>#VALUE!</v>
      </c>
      <c r="GK61" t="e">
        <f>AND('WJP Rule of Law Index 2012-2013'!AW95,"AAAAAF257sA=")</f>
        <v>#VALUE!</v>
      </c>
      <c r="GL61" t="e">
        <f>AND('WJP Rule of Law Index 2012-2013'!AX95,"AAAAAF257sE=")</f>
        <v>#VALUE!</v>
      </c>
      <c r="GM61" t="e">
        <f>AND('WJP Rule of Law Index 2012-2013'!AY95,"AAAAAF257sI=")</f>
        <v>#VALUE!</v>
      </c>
      <c r="GN61" t="e">
        <f>AND('WJP Rule of Law Index 2012-2013'!AZ95,"AAAAAF257sM=")</f>
        <v>#VALUE!</v>
      </c>
      <c r="GO61" t="e">
        <f>AND('WJP Rule of Law Index 2012-2013'!BA95,"AAAAAF257sQ=")</f>
        <v>#VALUE!</v>
      </c>
      <c r="GP61" t="e">
        <f>AND('WJP Rule of Law Index 2012-2013'!BB95,"AAAAAF257sU=")</f>
        <v>#VALUE!</v>
      </c>
      <c r="GQ61" t="e">
        <f>AND('WJP Rule of Law Index 2012-2013'!BC95,"AAAAAF257sY=")</f>
        <v>#VALUE!</v>
      </c>
      <c r="GR61" t="e">
        <f>AND('WJP Rule of Law Index 2012-2013'!L96,"AAAAAF257sc=")</f>
        <v>#VALUE!</v>
      </c>
      <c r="GS61" t="e">
        <f>AND('WJP Rule of Law Index 2012-2013'!M96,"AAAAAF257sg=")</f>
        <v>#VALUE!</v>
      </c>
      <c r="GT61" t="e">
        <f>AND('WJP Rule of Law Index 2012-2013'!N96,"AAAAAF257sk=")</f>
        <v>#VALUE!</v>
      </c>
      <c r="GU61" t="e">
        <f>AND('WJP Rule of Law Index 2012-2013'!O96,"AAAAAF257so=")</f>
        <v>#VALUE!</v>
      </c>
      <c r="GV61" t="e">
        <f>AND('WJP Rule of Law Index 2012-2013'!AU96,"AAAAAF257ss=")</f>
        <v>#VALUE!</v>
      </c>
      <c r="GW61" t="e">
        <f>AND('WJP Rule of Law Index 2012-2013'!AV96,"AAAAAF257sw=")</f>
        <v>#VALUE!</v>
      </c>
      <c r="GX61" t="e">
        <f>AND('WJP Rule of Law Index 2012-2013'!AW96,"AAAAAF257s0=")</f>
        <v>#VALUE!</v>
      </c>
      <c r="GY61" t="e">
        <f>AND('WJP Rule of Law Index 2012-2013'!AX96,"AAAAAF257s4=")</f>
        <v>#VALUE!</v>
      </c>
      <c r="GZ61" t="e">
        <f>AND('WJP Rule of Law Index 2012-2013'!AY96,"AAAAAF257s8=")</f>
        <v>#VALUE!</v>
      </c>
      <c r="HA61" t="e">
        <f>AND('WJP Rule of Law Index 2012-2013'!AZ96,"AAAAAF257tA=")</f>
        <v>#VALUE!</v>
      </c>
      <c r="HB61" t="e">
        <f>AND('WJP Rule of Law Index 2012-2013'!BA96,"AAAAAF257tE=")</f>
        <v>#VALUE!</v>
      </c>
      <c r="HC61" t="e">
        <f>AND('WJP Rule of Law Index 2012-2013'!BB96,"AAAAAF257tI=")</f>
        <v>#VALUE!</v>
      </c>
      <c r="HD61" t="e">
        <f>AND('WJP Rule of Law Index 2012-2013'!BC96,"AAAAAF257tM=")</f>
        <v>#VALUE!</v>
      </c>
      <c r="HE61" t="e">
        <f>AND('WJP Rule of Law Index 2012-2013'!L97,"AAAAAF257tQ=")</f>
        <v>#VALUE!</v>
      </c>
      <c r="HF61" t="e">
        <f>AND('WJP Rule of Law Index 2012-2013'!M97,"AAAAAF257tU=")</f>
        <v>#VALUE!</v>
      </c>
      <c r="HG61" t="e">
        <f>AND('WJP Rule of Law Index 2012-2013'!N97,"AAAAAF257tY=")</f>
        <v>#VALUE!</v>
      </c>
      <c r="HH61" t="e">
        <f>AND('WJP Rule of Law Index 2012-2013'!O97,"AAAAAF257tc=")</f>
        <v>#VALUE!</v>
      </c>
      <c r="HI61" t="e">
        <f>AND('WJP Rule of Law Index 2012-2013'!AU97,"AAAAAF257tg=")</f>
        <v>#VALUE!</v>
      </c>
      <c r="HJ61" t="e">
        <f>AND('WJP Rule of Law Index 2012-2013'!AV97,"AAAAAF257tk=")</f>
        <v>#VALUE!</v>
      </c>
      <c r="HK61" t="e">
        <f>AND('WJP Rule of Law Index 2012-2013'!AW97,"AAAAAF257to=")</f>
        <v>#VALUE!</v>
      </c>
      <c r="HL61" t="e">
        <f>AND('WJP Rule of Law Index 2012-2013'!AX97,"AAAAAF257ts=")</f>
        <v>#VALUE!</v>
      </c>
      <c r="HM61" t="e">
        <f>AND('WJP Rule of Law Index 2012-2013'!AY97,"AAAAAF257tw=")</f>
        <v>#VALUE!</v>
      </c>
      <c r="HN61" t="e">
        <f>AND('WJP Rule of Law Index 2012-2013'!AZ97,"AAAAAF257t0=")</f>
        <v>#VALUE!</v>
      </c>
      <c r="HO61" t="e">
        <f>AND('WJP Rule of Law Index 2012-2013'!BA97,"AAAAAF257t4=")</f>
        <v>#VALUE!</v>
      </c>
      <c r="HP61" t="e">
        <f>AND('WJP Rule of Law Index 2012-2013'!BB97,"AAAAAF257t8=")</f>
        <v>#VALUE!</v>
      </c>
      <c r="HQ61" t="e">
        <f>AND('WJP Rule of Law Index 2012-2013'!BC97,"AAAAAF257uA=")</f>
        <v>#VALUE!</v>
      </c>
      <c r="HR61" t="e">
        <f>AND('WJP Rule of Law Index 2012-2013'!L98,"AAAAAF257uE=")</f>
        <v>#VALUE!</v>
      </c>
      <c r="HS61" t="e">
        <f>AND('WJP Rule of Law Index 2012-2013'!M98,"AAAAAF257uI=")</f>
        <v>#VALUE!</v>
      </c>
      <c r="HT61" t="e">
        <f>AND('WJP Rule of Law Index 2012-2013'!N98,"AAAAAF257uM=")</f>
        <v>#VALUE!</v>
      </c>
      <c r="HU61" t="e">
        <f>AND('WJP Rule of Law Index 2012-2013'!O98,"AAAAAF257uQ=")</f>
        <v>#VALUE!</v>
      </c>
      <c r="HV61" t="e">
        <f>AND('WJP Rule of Law Index 2012-2013'!AQ98,"AAAAAF257uU=")</f>
        <v>#VALUE!</v>
      </c>
      <c r="HW61" t="e">
        <f>AND('WJP Rule of Law Index 2012-2013'!AR98,"AAAAAF257uY=")</f>
        <v>#VALUE!</v>
      </c>
      <c r="HX61" t="e">
        <f>AND('WJP Rule of Law Index 2012-2013'!AS98,"AAAAAF257uc=")</f>
        <v>#VALUE!</v>
      </c>
      <c r="HY61" t="e">
        <f>AND('WJP Rule of Law Index 2012-2013'!AT98,"AAAAAF257ug=")</f>
        <v>#VALUE!</v>
      </c>
      <c r="HZ61" t="e">
        <f>AND('WJP Rule of Law Index 2012-2013'!AU98,"AAAAAF257uk=")</f>
        <v>#VALUE!</v>
      </c>
      <c r="IA61" t="e">
        <f>AND('WJP Rule of Law Index 2012-2013'!AV98,"AAAAAF257uo=")</f>
        <v>#VALUE!</v>
      </c>
      <c r="IB61" t="e">
        <f>AND('WJP Rule of Law Index 2012-2013'!AW98,"AAAAAF257us=")</f>
        <v>#VALUE!</v>
      </c>
      <c r="IC61" t="e">
        <f>AND('WJP Rule of Law Index 2012-2013'!AX98,"AAAAAF257uw=")</f>
        <v>#VALUE!</v>
      </c>
      <c r="ID61" t="e">
        <f>AND('WJP Rule of Law Index 2012-2013'!AY98,"AAAAAF257u0=")</f>
        <v>#VALUE!</v>
      </c>
      <c r="IE61" t="e">
        <f>AND('WJP Rule of Law Index 2012-2013'!AZ98,"AAAAAF257u4=")</f>
        <v>#VALUE!</v>
      </c>
      <c r="IF61" t="e">
        <f>AND('WJP Rule of Law Index 2012-2013'!BA98,"AAAAAF257u8=")</f>
        <v>#VALUE!</v>
      </c>
      <c r="IG61" t="e">
        <f>AND('WJP Rule of Law Index 2012-2013'!BB98,"AAAAAF257vA=")</f>
        <v>#VALUE!</v>
      </c>
      <c r="IH61" t="e">
        <f>AND('WJP Rule of Law Index 2012-2013'!BC98,"AAAAAF257vE=")</f>
        <v>#VALUE!</v>
      </c>
      <c r="II61">
        <f>IF('WJP Rule of Law Index 2012-2013'!BX:BX,"AAAAAF257vI=",0)</f>
        <v>0</v>
      </c>
      <c r="IJ61">
        <f>IF('WJP Rule of Law Index 2012-2013'!BY:BY,"AAAAAF257vM=",0)</f>
        <v>0</v>
      </c>
      <c r="IK61">
        <f>IF('WJP Rule of Law Index 2012-2013'!BZ:BZ,"AAAAAF257vQ=",0)</f>
        <v>0</v>
      </c>
      <c r="IL61">
        <f>IF('WJP Rule of Law Index 2012-2013'!CA:CA,"AAAAAF257vU=",0)</f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Justice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Martinez</dc:creator>
  <cp:keywords/>
  <dc:description/>
  <cp:lastModifiedBy>Joshua Steele</cp:lastModifiedBy>
  <dcterms:created xsi:type="dcterms:W3CDTF">2011-10-25T15:25:13Z</dcterms:created>
  <dcterms:modified xsi:type="dcterms:W3CDTF">2013-03-07T23:00:41Z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1Agucyj31bMbDd0UYKiTh2BINyK4PWUhth0qRWeZCULc</vt:lpwstr>
  </property>
  <property fmtid="{D5CDD505-2E9C-101B-9397-08002B2CF9AE}" pid="4" name="Google.Documents.RevisionId">
    <vt:lpwstr>16733818964291268122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